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E18458C6-212C-4A66-8EC6-F9AE34DA89E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6.3 - Pipe P2" sheetId="1" r:id="rId1"/>
    <sheet name="Sheet1" sheetId="11" r:id="rId2"/>
  </sheets>
  <definedNames>
    <definedName name="A">'Example 6.3 - Pipe P2'!$C$23</definedName>
    <definedName name="c_1">'Example 6.3 - Pipe P2'!$C$118</definedName>
    <definedName name="c_2">'Example 6.3 - Pipe P2'!$C$160</definedName>
    <definedName name="cp">'Example 6.3 - Pipe P2'!$C$11</definedName>
    <definedName name="D">'Example 6.3 - Pipe P2'!$C$19</definedName>
    <definedName name="f">'Example 6.3 - Pipe P2'!$C$25</definedName>
    <definedName name="Gam">'Example 6.3 - Pipe P2'!$C$5</definedName>
    <definedName name="gc">'Example 6.3 - Pipe P2'!$C$6</definedName>
    <definedName name="h_1">'Example 6.3 - Pipe P2'!$C$126</definedName>
    <definedName name="h_2">'Example 6.3 - Pipe P2'!$C$158</definedName>
    <definedName name="ho_1">'Example 6.3 - Pipe P2'!$C$128</definedName>
    <definedName name="ho_2">'Example 6.3 - Pipe P2'!$C$139</definedName>
    <definedName name="L">'Example 6.3 - Pipe P2'!$C$15</definedName>
    <definedName name="M_1">'Example 6.3 - Pipe P2'!$C$79</definedName>
    <definedName name="M_2">'Example 6.3 - Pipe P2'!$C$58</definedName>
    <definedName name="M1x">'Example 6.3 - Pipe P2'!#REF!</definedName>
    <definedName name="M2x">'Example 6.3 - Pipe P2'!#REF!</definedName>
    <definedName name="mdot">'Example 6.3 - Pipe P2'!$C$37</definedName>
    <definedName name="P_1">'Example 6.3 - Pipe P2'!$C$109</definedName>
    <definedName name="P_2">'Example 6.3 - Pipe P2'!$C$145</definedName>
    <definedName name="Po_1">'Example 6.3 - Pipe P2'!$C$100</definedName>
    <definedName name="Po_2">'Example 6.3 - Pipe P2'!$C$46</definedName>
    <definedName name="Rg">'Example 6.3 - Pipe P2'!$C$3</definedName>
    <definedName name="rho_1">'Example 6.3 - Pipe P2'!$C$114</definedName>
    <definedName name="rho_2">'Example 6.3 - Pipe P2'!$C$153</definedName>
    <definedName name="solver_adj" localSheetId="0" hidden="1">'Example 6.3 - Pipe P2'!$C$79:$C$79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'Example 6.3 - Pipe P2'!$C$79</definedName>
    <definedName name="solver_lhs2" localSheetId="0" hidden="1">'Example 6.3 - Pipe P2'!$C$79</definedName>
    <definedName name="solver_lhs3" localSheetId="0" hidden="1">'Example 6.3 - Pipe P2'!$C$58</definedName>
    <definedName name="solver_lhs4" localSheetId="0" hidden="1">'Example 6.3 - Pipe P2'!$C$58</definedName>
    <definedName name="solver_lhs5" localSheetId="0" hidden="1">'Example 6.3 - Pipe P2'!$C$58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'Example 6.3 - Pipe P2'!#REF!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M_2</definedName>
    <definedName name="solver_rhs2" localSheetId="0" hidden="1">0</definedName>
    <definedName name="solver_rhs3" localSheetId="0" hidden="1">1</definedName>
    <definedName name="solver_rhs4" localSheetId="0" hidden="1">1</definedName>
    <definedName name="solver_rhs5" localSheetId="0" hidden="1">M_1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_1">'Example 6.3 - Pipe P2'!$C$111</definedName>
    <definedName name="T_2">'Example 6.3 - Pipe P2'!$C$147</definedName>
    <definedName name="To_1">'Example 6.3 - Pipe P2'!$C$41</definedName>
    <definedName name="To_2">'Example 6.3 - Pipe P2'!$C$50</definedName>
    <definedName name="V_1">'Example 6.3 - Pipe P2'!$C$116</definedName>
    <definedName name="V_2">'Example 6.3 - Pipe P2'!$C$155</definedName>
    <definedName name="Z">'Example 6.3 - Pipe P2'!$C$42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1" l="1"/>
  <c r="D3" i="11"/>
  <c r="Z3" i="11" s="1"/>
  <c r="E3" i="11"/>
  <c r="D20" i="11"/>
  <c r="Z20" i="11"/>
  <c r="C47" i="1"/>
  <c r="D4" i="11" l="1"/>
  <c r="E20" i="11"/>
  <c r="Z4" i="11"/>
  <c r="C100" i="1"/>
  <c r="H3" i="11" s="1"/>
  <c r="C59" i="1"/>
  <c r="D5" i="11" l="1"/>
  <c r="E4" i="11"/>
  <c r="AB3" i="11"/>
  <c r="I3" i="11"/>
  <c r="C101" i="1"/>
  <c r="C85" i="1"/>
  <c r="E5" i="11" l="1"/>
  <c r="Z5" i="11"/>
  <c r="D6" i="11"/>
  <c r="B161" i="1"/>
  <c r="B159" i="1"/>
  <c r="B156" i="1"/>
  <c r="B154" i="1"/>
  <c r="B52" i="1"/>
  <c r="B47" i="1"/>
  <c r="B149" i="1"/>
  <c r="B146" i="1"/>
  <c r="B140" i="1"/>
  <c r="B129" i="1"/>
  <c r="B127" i="1"/>
  <c r="B119" i="1"/>
  <c r="B117" i="1"/>
  <c r="B115" i="1"/>
  <c r="B113" i="1"/>
  <c r="B110" i="1"/>
  <c r="Z6" i="11" l="1"/>
  <c r="E6" i="11"/>
  <c r="D7" i="11"/>
  <c r="C40" i="1"/>
  <c r="C18" i="1"/>
  <c r="C22" i="1" s="1"/>
  <c r="C21" i="1"/>
  <c r="C23" i="1" s="1"/>
  <c r="C19" i="1"/>
  <c r="C16" i="1"/>
  <c r="C12" i="1"/>
  <c r="C4" i="1"/>
  <c r="C41" i="1"/>
  <c r="N3" i="11" s="1"/>
  <c r="C109" i="1"/>
  <c r="F3" i="11" s="1"/>
  <c r="D8" i="11" l="1"/>
  <c r="B8" i="11" s="1"/>
  <c r="E7" i="11"/>
  <c r="Z7" i="11"/>
  <c r="B20" i="11"/>
  <c r="B4" i="11"/>
  <c r="B5" i="11"/>
  <c r="B6" i="11"/>
  <c r="B7" i="11"/>
  <c r="G3" i="11"/>
  <c r="AA3" i="11"/>
  <c r="O3" i="11"/>
  <c r="P3" i="11"/>
  <c r="N4" i="11"/>
  <c r="C110" i="1"/>
  <c r="C50" i="1"/>
  <c r="C38" i="1"/>
  <c r="C111" i="1"/>
  <c r="J3" i="11" s="1"/>
  <c r="C20" i="1"/>
  <c r="C24" i="1" s="1"/>
  <c r="C83" i="1"/>
  <c r="C87" i="1" s="1"/>
  <c r="C145" i="1"/>
  <c r="C146" i="1" s="1"/>
  <c r="Z8" i="11" l="1"/>
  <c r="E8" i="11"/>
  <c r="D9" i="11"/>
  <c r="Y6" i="11"/>
  <c r="C6" i="11"/>
  <c r="AC3" i="11"/>
  <c r="K3" i="11"/>
  <c r="M3" i="11" s="1"/>
  <c r="L3" i="11"/>
  <c r="Y5" i="11"/>
  <c r="C5" i="11"/>
  <c r="C8" i="11"/>
  <c r="Y8" i="11"/>
  <c r="Y4" i="11"/>
  <c r="C4" i="11"/>
  <c r="Y7" i="11"/>
  <c r="C7" i="11"/>
  <c r="J4" i="11"/>
  <c r="P4" i="11"/>
  <c r="N5" i="11"/>
  <c r="H4" i="11"/>
  <c r="Q3" i="11"/>
  <c r="O4" i="11"/>
  <c r="C20" i="11"/>
  <c r="Y20" i="11"/>
  <c r="Y3" i="11"/>
  <c r="C112" i="1"/>
  <c r="C113" i="1" s="1"/>
  <c r="C114" i="1"/>
  <c r="R3" i="11" s="1"/>
  <c r="C126" i="1"/>
  <c r="C127" i="1" s="1"/>
  <c r="C147" i="1"/>
  <c r="D10" i="11" l="1"/>
  <c r="E9" i="11"/>
  <c r="Z9" i="11"/>
  <c r="B9" i="11"/>
  <c r="K4" i="11"/>
  <c r="M4" i="11" s="1"/>
  <c r="L4" i="11"/>
  <c r="AC4" i="11"/>
  <c r="I4" i="11"/>
  <c r="AB4" i="11"/>
  <c r="F4" i="11"/>
  <c r="AD3" i="11"/>
  <c r="S3" i="11"/>
  <c r="T3" i="11"/>
  <c r="N6" i="11"/>
  <c r="H5" i="11"/>
  <c r="J5" i="11"/>
  <c r="P5" i="11"/>
  <c r="Q4" i="11"/>
  <c r="O5" i="11"/>
  <c r="C115" i="1"/>
  <c r="C51" i="1"/>
  <c r="C52" i="1" s="1"/>
  <c r="C61" i="1"/>
  <c r="C64" i="1" s="1"/>
  <c r="C153" i="1"/>
  <c r="C154" i="1" s="1"/>
  <c r="C148" i="1"/>
  <c r="C149" i="1" s="1"/>
  <c r="Y9" i="11" l="1"/>
  <c r="C9" i="11"/>
  <c r="D11" i="11"/>
  <c r="Z10" i="11"/>
  <c r="E10" i="11"/>
  <c r="B10" i="11"/>
  <c r="U3" i="11"/>
  <c r="V3" i="11"/>
  <c r="AA4" i="11"/>
  <c r="R4" i="11"/>
  <c r="G4" i="11"/>
  <c r="K5" i="11"/>
  <c r="M5" i="11" s="1"/>
  <c r="L5" i="11"/>
  <c r="AC5" i="11"/>
  <c r="P6" i="11"/>
  <c r="N7" i="11"/>
  <c r="H6" i="11"/>
  <c r="J6" i="11"/>
  <c r="Q5" i="11"/>
  <c r="O6" i="11"/>
  <c r="F5" i="11"/>
  <c r="I5" i="11"/>
  <c r="AB5" i="11"/>
  <c r="C155" i="1"/>
  <c r="C160" i="1" s="1"/>
  <c r="C161" i="1" s="1"/>
  <c r="C116" i="1"/>
  <c r="C118" i="1" s="1"/>
  <c r="C119" i="1" s="1"/>
  <c r="C62" i="1"/>
  <c r="C10" i="11" l="1"/>
  <c r="Y10" i="11"/>
  <c r="B11" i="11"/>
  <c r="D12" i="11"/>
  <c r="Z11" i="11"/>
  <c r="E11" i="11"/>
  <c r="AD4" i="11"/>
  <c r="S4" i="11"/>
  <c r="T4" i="11"/>
  <c r="L6" i="11"/>
  <c r="K6" i="11"/>
  <c r="M6" i="11" s="1"/>
  <c r="AC6" i="11"/>
  <c r="R5" i="11"/>
  <c r="G5" i="11"/>
  <c r="T5" i="11"/>
  <c r="AA5" i="11"/>
  <c r="Q6" i="11"/>
  <c r="O7" i="11"/>
  <c r="AE3" i="11"/>
  <c r="W3" i="11"/>
  <c r="AB6" i="11"/>
  <c r="F6" i="11"/>
  <c r="I6" i="11"/>
  <c r="N8" i="11"/>
  <c r="H7" i="11"/>
  <c r="J7" i="11"/>
  <c r="P7" i="11"/>
  <c r="C156" i="1"/>
  <c r="C128" i="1"/>
  <c r="C129" i="1" s="1"/>
  <c r="C117" i="1"/>
  <c r="D13" i="11" l="1"/>
  <c r="Z12" i="11"/>
  <c r="B12" i="11"/>
  <c r="E12" i="11"/>
  <c r="Y11" i="11"/>
  <c r="C11" i="11"/>
  <c r="AD5" i="11"/>
  <c r="S5" i="11"/>
  <c r="AA6" i="11"/>
  <c r="R6" i="11"/>
  <c r="G6" i="11"/>
  <c r="T6" i="11"/>
  <c r="U4" i="11"/>
  <c r="V4" i="11"/>
  <c r="I7" i="11"/>
  <c r="F7" i="11"/>
  <c r="AB7" i="11"/>
  <c r="O8" i="11"/>
  <c r="Q7" i="11"/>
  <c r="U5" i="11"/>
  <c r="V5" i="11"/>
  <c r="K7" i="11"/>
  <c r="M7" i="11" s="1"/>
  <c r="L7" i="11"/>
  <c r="AC7" i="11"/>
  <c r="P8" i="11"/>
  <c r="N9" i="11"/>
  <c r="H8" i="11"/>
  <c r="J8" i="11"/>
  <c r="C139" i="1"/>
  <c r="C158" i="1" s="1"/>
  <c r="C159" i="1" s="1"/>
  <c r="Y12" i="11" l="1"/>
  <c r="C12" i="11"/>
  <c r="E13" i="11"/>
  <c r="Z13" i="11"/>
  <c r="B13" i="11"/>
  <c r="D14" i="11"/>
  <c r="Q8" i="11"/>
  <c r="O9" i="11"/>
  <c r="W4" i="11"/>
  <c r="AE4" i="11"/>
  <c r="U6" i="11"/>
  <c r="V6" i="11"/>
  <c r="AB8" i="11"/>
  <c r="F8" i="11"/>
  <c r="I8" i="11"/>
  <c r="J9" i="11"/>
  <c r="H9" i="11"/>
  <c r="P9" i="11"/>
  <c r="N10" i="11"/>
  <c r="G7" i="11"/>
  <c r="R7" i="11"/>
  <c r="AA7" i="11"/>
  <c r="AC8" i="11"/>
  <c r="K8" i="11"/>
  <c r="M8" i="11" s="1"/>
  <c r="L8" i="11"/>
  <c r="AD6" i="11"/>
  <c r="S6" i="11"/>
  <c r="AE5" i="11"/>
  <c r="W5" i="11"/>
  <c r="C140" i="1"/>
  <c r="E14" i="11" l="1"/>
  <c r="B14" i="11"/>
  <c r="D15" i="11"/>
  <c r="Z14" i="11"/>
  <c r="C13" i="11"/>
  <c r="Y13" i="11"/>
  <c r="S7" i="11"/>
  <c r="AD7" i="11"/>
  <c r="AE6" i="11"/>
  <c r="W6" i="11"/>
  <c r="T7" i="11"/>
  <c r="AA8" i="11"/>
  <c r="R8" i="11"/>
  <c r="G8" i="11"/>
  <c r="T8" i="11"/>
  <c r="I9" i="11"/>
  <c r="AB9" i="11"/>
  <c r="F9" i="11"/>
  <c r="O10" i="11"/>
  <c r="Q9" i="11"/>
  <c r="P10" i="11"/>
  <c r="N11" i="11"/>
  <c r="H10" i="11"/>
  <c r="J10" i="11"/>
  <c r="K9" i="11"/>
  <c r="M9" i="11" s="1"/>
  <c r="L9" i="11"/>
  <c r="AC9" i="11"/>
  <c r="D16" i="11" l="1"/>
  <c r="E15" i="11"/>
  <c r="Z15" i="11"/>
  <c r="B15" i="11"/>
  <c r="Y14" i="11"/>
  <c r="C14" i="11"/>
  <c r="AA9" i="11"/>
  <c r="R9" i="11"/>
  <c r="G9" i="11"/>
  <c r="F10" i="11"/>
  <c r="AB10" i="11"/>
  <c r="I10" i="11"/>
  <c r="U8" i="11"/>
  <c r="V8" i="11"/>
  <c r="AD8" i="11"/>
  <c r="S8" i="11"/>
  <c r="Q10" i="11"/>
  <c r="O11" i="11"/>
  <c r="U7" i="11"/>
  <c r="V7" i="11"/>
  <c r="AC10" i="11"/>
  <c r="K10" i="11"/>
  <c r="M10" i="11" s="1"/>
  <c r="L10" i="11"/>
  <c r="P11" i="11"/>
  <c r="N12" i="11"/>
  <c r="H11" i="11"/>
  <c r="J11" i="11"/>
  <c r="Y15" i="11" l="1"/>
  <c r="C15" i="11"/>
  <c r="Z16" i="11"/>
  <c r="D17" i="11"/>
  <c r="E16" i="11"/>
  <c r="B16" i="11"/>
  <c r="AE8" i="11"/>
  <c r="W8" i="11"/>
  <c r="AD9" i="11"/>
  <c r="S9" i="11"/>
  <c r="R10" i="11"/>
  <c r="G10" i="11"/>
  <c r="AA10" i="11"/>
  <c r="K11" i="11"/>
  <c r="M11" i="11" s="1"/>
  <c r="L11" i="11"/>
  <c r="AC11" i="11"/>
  <c r="W7" i="11"/>
  <c r="AE7" i="11"/>
  <c r="AB11" i="11"/>
  <c r="F11" i="11"/>
  <c r="I11" i="11"/>
  <c r="N13" i="11"/>
  <c r="H12" i="11"/>
  <c r="J12" i="11"/>
  <c r="P12" i="11"/>
  <c r="Q11" i="11"/>
  <c r="O12" i="11"/>
  <c r="T9" i="11"/>
  <c r="C16" i="11" l="1"/>
  <c r="Y16" i="11"/>
  <c r="E17" i="11"/>
  <c r="D18" i="11"/>
  <c r="Z17" i="11"/>
  <c r="B17" i="11"/>
  <c r="AA11" i="11"/>
  <c r="R11" i="11"/>
  <c r="G11" i="11"/>
  <c r="T11" i="11"/>
  <c r="P13" i="11"/>
  <c r="N14" i="11"/>
  <c r="H13" i="11"/>
  <c r="J13" i="11"/>
  <c r="AD10" i="11"/>
  <c r="S10" i="11"/>
  <c r="U9" i="11"/>
  <c r="V9" i="11"/>
  <c r="O13" i="11"/>
  <c r="Q12" i="11"/>
  <c r="T10" i="11"/>
  <c r="K12" i="11"/>
  <c r="M12" i="11" s="1"/>
  <c r="L12" i="11"/>
  <c r="AC12" i="11"/>
  <c r="F12" i="11"/>
  <c r="I12" i="11"/>
  <c r="AB12" i="11"/>
  <c r="Y17" i="11" l="1"/>
  <c r="C17" i="11"/>
  <c r="D19" i="11"/>
  <c r="Z18" i="11"/>
  <c r="E18" i="11"/>
  <c r="B18" i="11"/>
  <c r="K13" i="11"/>
  <c r="M13" i="11" s="1"/>
  <c r="AC13" i="11"/>
  <c r="L13" i="11"/>
  <c r="AB13" i="11"/>
  <c r="F13" i="11"/>
  <c r="I13" i="11"/>
  <c r="H14" i="11"/>
  <c r="J14" i="11"/>
  <c r="P14" i="11"/>
  <c r="N15" i="11"/>
  <c r="U10" i="11"/>
  <c r="V10" i="11"/>
  <c r="AD11" i="11"/>
  <c r="S11" i="11"/>
  <c r="U11" i="11"/>
  <c r="V11" i="11"/>
  <c r="Q13" i="11"/>
  <c r="O14" i="11"/>
  <c r="W9" i="11"/>
  <c r="AE9" i="11"/>
  <c r="R12" i="11"/>
  <c r="G12" i="11"/>
  <c r="AA12" i="11"/>
  <c r="C18" i="11" l="1"/>
  <c r="Y18" i="11"/>
  <c r="Z19" i="11"/>
  <c r="E19" i="11"/>
  <c r="B19" i="11"/>
  <c r="I14" i="11"/>
  <c r="F14" i="11"/>
  <c r="AB14" i="11"/>
  <c r="AD12" i="11"/>
  <c r="S12" i="11"/>
  <c r="AA13" i="11"/>
  <c r="R13" i="11"/>
  <c r="T13" i="11" s="1"/>
  <c r="G13" i="11"/>
  <c r="AE10" i="11"/>
  <c r="W10" i="11"/>
  <c r="P15" i="11"/>
  <c r="N16" i="11"/>
  <c r="H15" i="11"/>
  <c r="J15" i="11"/>
  <c r="O15" i="11"/>
  <c r="Q14" i="11"/>
  <c r="K14" i="11"/>
  <c r="M14" i="11" s="1"/>
  <c r="L14" i="11"/>
  <c r="AC14" i="11"/>
  <c r="W11" i="11"/>
  <c r="AE11" i="11"/>
  <c r="T12" i="11"/>
  <c r="Y19" i="11" l="1"/>
  <c r="C19" i="11"/>
  <c r="U12" i="11"/>
  <c r="V12" i="11"/>
  <c r="U13" i="11"/>
  <c r="V13" i="11"/>
  <c r="AD13" i="11"/>
  <c r="S13" i="11"/>
  <c r="AB15" i="11"/>
  <c r="F15" i="11"/>
  <c r="I15" i="11"/>
  <c r="Q15" i="11"/>
  <c r="O16" i="11"/>
  <c r="AC15" i="11"/>
  <c r="K15" i="11"/>
  <c r="M15" i="11" s="1"/>
  <c r="L15" i="11"/>
  <c r="G14" i="11"/>
  <c r="AA14" i="11"/>
  <c r="R14" i="11"/>
  <c r="J16" i="11"/>
  <c r="N17" i="11"/>
  <c r="H16" i="11"/>
  <c r="P16" i="11"/>
  <c r="AA15" i="11" l="1"/>
  <c r="R15" i="11"/>
  <c r="G15" i="11"/>
  <c r="T15" i="11"/>
  <c r="AD14" i="11"/>
  <c r="S14" i="11"/>
  <c r="AE13" i="11"/>
  <c r="W13" i="11"/>
  <c r="O17" i="11"/>
  <c r="Q16" i="11"/>
  <c r="I16" i="11"/>
  <c r="AB16" i="11"/>
  <c r="F16" i="11"/>
  <c r="N18" i="11"/>
  <c r="H17" i="11"/>
  <c r="J17" i="11"/>
  <c r="P17" i="11"/>
  <c r="K16" i="11"/>
  <c r="M16" i="11" s="1"/>
  <c r="L16" i="11"/>
  <c r="AC16" i="11"/>
  <c r="T14" i="11"/>
  <c r="AE12" i="11"/>
  <c r="W12" i="11"/>
  <c r="Q17" i="11" l="1"/>
  <c r="O18" i="11"/>
  <c r="U15" i="11"/>
  <c r="V15" i="11"/>
  <c r="AC17" i="11"/>
  <c r="K17" i="11"/>
  <c r="M17" i="11" s="1"/>
  <c r="L17" i="11"/>
  <c r="AD15" i="11"/>
  <c r="S15" i="11"/>
  <c r="U14" i="11"/>
  <c r="V14" i="11"/>
  <c r="F17" i="11"/>
  <c r="AB17" i="11"/>
  <c r="I17" i="11"/>
  <c r="N19" i="11"/>
  <c r="P18" i="11"/>
  <c r="H18" i="11"/>
  <c r="J18" i="11"/>
  <c r="AA16" i="11"/>
  <c r="R16" i="11"/>
  <c r="T16" i="11" s="1"/>
  <c r="G16" i="11"/>
  <c r="AE14" i="11" l="1"/>
  <c r="W14" i="11"/>
  <c r="AB18" i="11"/>
  <c r="F18" i="11"/>
  <c r="I18" i="11"/>
  <c r="U16" i="11"/>
  <c r="V16" i="11"/>
  <c r="S16" i="11"/>
  <c r="AD16" i="11"/>
  <c r="L18" i="11"/>
  <c r="K18" i="11"/>
  <c r="M18" i="11" s="1"/>
  <c r="AC18" i="11"/>
  <c r="AE15" i="11"/>
  <c r="W15" i="11"/>
  <c r="N20" i="11"/>
  <c r="H19" i="11"/>
  <c r="J19" i="11"/>
  <c r="P19" i="11"/>
  <c r="Q18" i="11"/>
  <c r="O19" i="11"/>
  <c r="R17" i="11"/>
  <c r="G17" i="11"/>
  <c r="T17" i="11"/>
  <c r="AA17" i="11"/>
  <c r="W16" i="11" l="1"/>
  <c r="AE16" i="11"/>
  <c r="I19" i="11"/>
  <c r="AB19" i="11"/>
  <c r="F19" i="11"/>
  <c r="U17" i="11"/>
  <c r="V17" i="11"/>
  <c r="AD17" i="11"/>
  <c r="S17" i="11"/>
  <c r="O20" i="11"/>
  <c r="Q20" i="11" s="1"/>
  <c r="Q19" i="11"/>
  <c r="L19" i="11"/>
  <c r="AC19" i="11"/>
  <c r="K19" i="11"/>
  <c r="M19" i="11" s="1"/>
  <c r="AA18" i="11"/>
  <c r="R18" i="11"/>
  <c r="G18" i="11"/>
  <c r="T18" i="11"/>
  <c r="P20" i="11"/>
  <c r="H20" i="11"/>
  <c r="J20" i="11"/>
  <c r="AC20" i="11" l="1"/>
  <c r="K20" i="11"/>
  <c r="M20" i="11" s="1"/>
  <c r="L20" i="11"/>
  <c r="AB20" i="11"/>
  <c r="F20" i="11"/>
  <c r="I20" i="11"/>
  <c r="G19" i="11"/>
  <c r="R19" i="11"/>
  <c r="AA19" i="11"/>
  <c r="U18" i="11"/>
  <c r="V18" i="11"/>
  <c r="AE17" i="11"/>
  <c r="W17" i="11"/>
  <c r="AD18" i="11"/>
  <c r="S18" i="11"/>
  <c r="AE18" i="11" l="1"/>
  <c r="W18" i="11"/>
  <c r="S19" i="11"/>
  <c r="AD19" i="11"/>
  <c r="T19" i="11"/>
  <c r="AA20" i="11"/>
  <c r="G20" i="11"/>
  <c r="R20" i="11"/>
  <c r="T20" i="11" s="1"/>
  <c r="U20" i="11" l="1"/>
  <c r="V20" i="11"/>
  <c r="AD20" i="11"/>
  <c r="S20" i="11"/>
  <c r="U19" i="11"/>
  <c r="V19" i="11"/>
  <c r="W19" i="11" l="1"/>
  <c r="AE19" i="11"/>
  <c r="W20" i="11"/>
  <c r="AE20" i="11"/>
</calcChain>
</file>

<file path=xl/sharedStrings.xml><?xml version="1.0" encoding="utf-8"?>
<sst xmlns="http://schemas.openxmlformats.org/spreadsheetml/2006/main" count="211" uniqueCount="122">
  <si>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</si>
  <si>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</si>
  <si>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</si>
  <si>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</si>
  <si>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</si>
  <si>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</si>
  <si>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</si>
  <si>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</si>
  <si>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</si>
  <si>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</si>
  <si>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</si>
  <si>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</si>
  <si>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</si>
  <si>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</si>
  <si>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</si>
  <si>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</si>
  <si>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</si>
  <si>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</si>
  <si>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</si>
  <si>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</si>
  <si>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</si>
  <si>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</si>
  <si>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</si>
  <si>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</si>
  <si>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</si>
  <si>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</si>
  <si>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</si>
  <si>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</si>
  <si>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</si>
  <si>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</si>
  <si>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</si>
  <si>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</si>
  <si>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</si>
  <si>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</si>
  <si>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</si>
  <si>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</si>
  <si>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</si>
  <si>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</si>
  <si>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</si>
  <si>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</si>
  <si>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</si>
  <si>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</si>
  <si>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</si>
  <si>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</si>
  <si>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</si>
  <si>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</si>
  <si>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</si>
  <si>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</si>
  <si>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</si>
  <si>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</si>
  <si>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</si>
  <si>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</si>
  <si>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</si>
  <si>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</si>
  <si>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</si>
  <si>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</si>
  <si>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</si>
  <si>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</si>
  <si>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</si>
  <si>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</si>
  <si>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</si>
  <si>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</si>
  <si>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</si>
  <si>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</si>
  <si>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</si>
  <si>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</si>
  <si>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</si>
  <si>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</si>
  <si>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</si>
  <si>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</si>
  <si>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</si>
  <si>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</si>
  <si>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</si>
  <si>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</si>
  <si>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</si>
  <si>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</si>
  <si>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</si>
  <si>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</si>
  <si>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</si>
  <si>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</si>
  <si>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</si>
  <si>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</si>
  <si>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</si>
  <si>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</si>
  <si>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</si>
  <si>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</si>
  <si>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</si>
  <si>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</si>
  <si>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</si>
  <si>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</si>
  <si>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</si>
  <si>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</si>
  <si>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EQUATION 1</t>
  </si>
  <si>
    <t>EQUATION 2</t>
  </si>
  <si>
    <t>Using current M1 and M2 in Eq. 1</t>
  </si>
  <si>
    <t xml:space="preserve">fL/D </t>
  </si>
  <si>
    <t>(RHS of Eq 1)</t>
  </si>
  <si>
    <t>based on M2</t>
  </si>
  <si>
    <t>mdot differrence</t>
  </si>
  <si>
    <t>mdot based on M2</t>
  </si>
  <si>
    <t>1. First, we know that To2 = To1 since the flow is adiabatic and air is acting as a calorically perfect gas</t>
  </si>
  <si>
    <t>2. Therefore, once we know Po_2 and To_2 we can solve for M2 by goal seeking</t>
  </si>
  <si>
    <t>3. Now that we know M2, we can solve for M1 from the fL/D Eqn 1</t>
  </si>
  <si>
    <t xml:space="preserve">fL/D difference </t>
  </si>
  <si>
    <t>4. Solve for Po1 from Eqn 2</t>
  </si>
  <si>
    <t>5. One the above is solved, we can find everything else with fundamental relationships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</si>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</sst>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2" fontId="0" fillId="3" borderId="0" xfId="0" applyNumberFormat="1" applyFill="1"/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0" fontId="4" fillId="0" borderId="4" xfId="0" applyFont="1" applyBorder="1"/>
    <xf numFmtId="165" fontId="0" fillId="5" borderId="0" xfId="0" applyNumberFormat="1" applyFill="1"/>
    <xf numFmtId="166" fontId="0" fillId="6" borderId="0" xfId="0" applyNumberFormat="1" applyFill="1"/>
    <xf numFmtId="0" fontId="1" fillId="6" borderId="0" xfId="0" applyFont="1" applyFill="1" applyAlignment="1">
      <alignment horizontal="center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152</xdr:row>
          <xdr:rowOff>152400</xdr:rowOff>
        </xdr:from>
        <xdr:to>
          <xdr:col>6</xdr:col>
          <xdr:colOff>457200</xdr:colOff>
          <xdr:row>154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147</xdr:row>
          <xdr:rowOff>38100</xdr:rowOff>
        </xdr:from>
        <xdr:to>
          <xdr:col>8</xdr:col>
          <xdr:colOff>171450</xdr:colOff>
          <xdr:row>151</xdr:row>
          <xdr:rowOff>57150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561975</xdr:colOff>
          <xdr:row>142</xdr:row>
          <xdr:rowOff>57150</xdr:rowOff>
        </xdr:from>
        <xdr:to>
          <xdr:col>9</xdr:col>
          <xdr:colOff>152400</xdr:colOff>
          <xdr:row>146</xdr:row>
          <xdr:rowOff>133350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81</xdr:row>
      <xdr:rowOff>66675</xdr:rowOff>
    </xdr:from>
    <xdr:to>
      <xdr:col>14</xdr:col>
      <xdr:colOff>303503</xdr:colOff>
      <xdr:row>86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61</xdr:row>
          <xdr:rowOff>85725</xdr:rowOff>
        </xdr:from>
        <xdr:to>
          <xdr:col>7</xdr:col>
          <xdr:colOff>504825</xdr:colOff>
          <xdr:row>65</xdr:row>
          <xdr:rowOff>9525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6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571500</xdr:colOff>
      <xdr:row>60</xdr:row>
      <xdr:rowOff>133350</xdr:rowOff>
    </xdr:from>
    <xdr:to>
      <xdr:col>5</xdr:col>
      <xdr:colOff>28575</xdr:colOff>
      <xdr:row>62</xdr:row>
      <xdr:rowOff>57150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3067050" y="11591925"/>
          <a:ext cx="1047750" cy="3048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108</xdr:row>
      <xdr:rowOff>95250</xdr:rowOff>
    </xdr:from>
    <xdr:to>
      <xdr:col>5</xdr:col>
      <xdr:colOff>104775</xdr:colOff>
      <xdr:row>109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110</xdr:row>
      <xdr:rowOff>114300</xdr:rowOff>
    </xdr:from>
    <xdr:to>
      <xdr:col>5</xdr:col>
      <xdr:colOff>161925</xdr:colOff>
      <xdr:row>114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113</xdr:row>
      <xdr:rowOff>123825</xdr:rowOff>
    </xdr:from>
    <xdr:to>
      <xdr:col>5</xdr:col>
      <xdr:colOff>152400</xdr:colOff>
      <xdr:row>116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115</xdr:row>
      <xdr:rowOff>114300</xdr:rowOff>
    </xdr:from>
    <xdr:to>
      <xdr:col>5</xdr:col>
      <xdr:colOff>161925</xdr:colOff>
      <xdr:row>118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117</xdr:row>
      <xdr:rowOff>133350</xdr:rowOff>
    </xdr:from>
    <xdr:to>
      <xdr:col>5</xdr:col>
      <xdr:colOff>190500</xdr:colOff>
      <xdr:row>121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127</xdr:row>
      <xdr:rowOff>142875</xdr:rowOff>
    </xdr:from>
    <xdr:to>
      <xdr:col>5</xdr:col>
      <xdr:colOff>209550</xdr:colOff>
      <xdr:row>128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127</xdr:row>
      <xdr:rowOff>85725</xdr:rowOff>
    </xdr:from>
    <xdr:to>
      <xdr:col>2</xdr:col>
      <xdr:colOff>247651</xdr:colOff>
      <xdr:row>138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144</xdr:row>
      <xdr:rowOff>114300</xdr:rowOff>
    </xdr:from>
    <xdr:to>
      <xdr:col>4</xdr:col>
      <xdr:colOff>552450</xdr:colOff>
      <xdr:row>145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146</xdr:row>
      <xdr:rowOff>104775</xdr:rowOff>
    </xdr:from>
    <xdr:to>
      <xdr:col>4</xdr:col>
      <xdr:colOff>571500</xdr:colOff>
      <xdr:row>149</xdr:row>
      <xdr:rowOff>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152</xdr:row>
      <xdr:rowOff>123826</xdr:rowOff>
    </xdr:from>
    <xdr:to>
      <xdr:col>4</xdr:col>
      <xdr:colOff>571500</xdr:colOff>
      <xdr:row>153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154</xdr:row>
      <xdr:rowOff>95254</xdr:rowOff>
    </xdr:from>
    <xdr:to>
      <xdr:col>4</xdr:col>
      <xdr:colOff>581025</xdr:colOff>
      <xdr:row>155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157</xdr:row>
      <xdr:rowOff>104777</xdr:rowOff>
    </xdr:from>
    <xdr:to>
      <xdr:col>4</xdr:col>
      <xdr:colOff>600075</xdr:colOff>
      <xdr:row>158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228600</xdr:colOff>
          <xdr:row>56</xdr:row>
          <xdr:rowOff>28575</xdr:rowOff>
        </xdr:from>
        <xdr:to>
          <xdr:col>12</xdr:col>
          <xdr:colOff>381000</xdr:colOff>
          <xdr:row>60</xdr:row>
          <xdr:rowOff>9525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6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126</xdr:row>
          <xdr:rowOff>114300</xdr:rowOff>
        </xdr:from>
        <xdr:to>
          <xdr:col>7</xdr:col>
          <xdr:colOff>285750</xdr:colOff>
          <xdr:row>130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116</xdr:row>
          <xdr:rowOff>19050</xdr:rowOff>
        </xdr:from>
        <xdr:to>
          <xdr:col>7</xdr:col>
          <xdr:colOff>38100</xdr:colOff>
          <xdr:row>117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119</xdr:row>
          <xdr:rowOff>180975</xdr:rowOff>
        </xdr:from>
        <xdr:to>
          <xdr:col>9</xdr:col>
          <xdr:colOff>104775</xdr:colOff>
          <xdr:row>123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6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107</xdr:row>
          <xdr:rowOff>76200</xdr:rowOff>
        </xdr:from>
        <xdr:to>
          <xdr:col>9</xdr:col>
          <xdr:colOff>352425</xdr:colOff>
          <xdr:row>112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6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112</xdr:row>
          <xdr:rowOff>85725</xdr:rowOff>
        </xdr:from>
        <xdr:to>
          <xdr:col>8</xdr:col>
          <xdr:colOff>247650</xdr:colOff>
          <xdr:row>115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118</xdr:row>
          <xdr:rowOff>0</xdr:rowOff>
        </xdr:from>
        <xdr:to>
          <xdr:col>6</xdr:col>
          <xdr:colOff>552450</xdr:colOff>
          <xdr:row>119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155</xdr:row>
          <xdr:rowOff>19050</xdr:rowOff>
        </xdr:from>
        <xdr:to>
          <xdr:col>6</xdr:col>
          <xdr:colOff>352425</xdr:colOff>
          <xdr:row>156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157</xdr:row>
          <xdr:rowOff>57150</xdr:rowOff>
        </xdr:from>
        <xdr:to>
          <xdr:col>7</xdr:col>
          <xdr:colOff>38100</xdr:colOff>
          <xdr:row>161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119</xdr:row>
      <xdr:rowOff>171450</xdr:rowOff>
    </xdr:from>
    <xdr:to>
      <xdr:col>6</xdr:col>
      <xdr:colOff>472234</xdr:colOff>
      <xdr:row>123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161</xdr:row>
      <xdr:rowOff>142875</xdr:rowOff>
    </xdr:from>
    <xdr:to>
      <xdr:col>6</xdr:col>
      <xdr:colOff>291259</xdr:colOff>
      <xdr:row>164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159</xdr:row>
      <xdr:rowOff>161925</xdr:rowOff>
    </xdr:from>
    <xdr:to>
      <xdr:col>5</xdr:col>
      <xdr:colOff>9525</xdr:colOff>
      <xdr:row>163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84</xdr:row>
      <xdr:rowOff>180975</xdr:rowOff>
    </xdr:from>
    <xdr:to>
      <xdr:col>4</xdr:col>
      <xdr:colOff>571500</xdr:colOff>
      <xdr:row>85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857250</xdr:colOff>
      <xdr:row>58</xdr:row>
      <xdr:rowOff>19050</xdr:rowOff>
    </xdr:from>
    <xdr:to>
      <xdr:col>5</xdr:col>
      <xdr:colOff>228600</xdr:colOff>
      <xdr:row>58</xdr:row>
      <xdr:rowOff>123825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CxnSpPr/>
      </xdr:nvCxnSpPr>
      <xdr:spPr>
        <a:xfrm flipV="1">
          <a:off x="3352800" y="10906125"/>
          <a:ext cx="9620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98</xdr:row>
      <xdr:rowOff>76200</xdr:rowOff>
    </xdr:from>
    <xdr:to>
      <xdr:col>11</xdr:col>
      <xdr:colOff>548151</xdr:colOff>
      <xdr:row>104</xdr:row>
      <xdr:rowOff>21511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,1</m:t>
                            </m:r>
                          </m:sub>
                        </m:sSub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lin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A43F6421-7C8A-7314-DCD5-FEFD0223F678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𝑃_(𝑜,2)/𝑃_(𝑜,1)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=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𝑀_1/𝑀_2 </a:t>
              </a:r>
              <a:r>
                <a:rPr lang="en-US" sz="18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)^((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𝛾+1)∕[2(𝛾−1)] )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3</xdr:col>
      <xdr:colOff>371475</xdr:colOff>
      <xdr:row>99</xdr:row>
      <xdr:rowOff>123825</xdr:rowOff>
    </xdr:from>
    <xdr:to>
      <xdr:col>5</xdr:col>
      <xdr:colOff>47625</xdr:colOff>
      <xdr:row>101</xdr:row>
      <xdr:rowOff>48856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>
          <a:endCxn id="2" idx="1"/>
        </xdr:cNvCxnSpPr>
      </xdr:nvCxnSpPr>
      <xdr:spPr>
        <a:xfrm>
          <a:off x="2867025" y="19050000"/>
          <a:ext cx="1266825" cy="30603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161925</xdr:colOff>
      <xdr:row>64</xdr:row>
      <xdr:rowOff>66675</xdr:rowOff>
    </xdr:from>
    <xdr:to>
      <xdr:col>4</xdr:col>
      <xdr:colOff>428374</xdr:colOff>
      <xdr:row>71</xdr:row>
      <xdr:rowOff>123651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95475" y="1228725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87</xdr:row>
      <xdr:rowOff>114300</xdr:rowOff>
    </xdr:from>
    <xdr:to>
      <xdr:col>4</xdr:col>
      <xdr:colOff>523624</xdr:colOff>
      <xdr:row>94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90725" y="16735425"/>
          <a:ext cx="2009524" cy="1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26" Type="http://schemas.openxmlformats.org/officeDocument/2006/relationships/image" Target="../media/image10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5" Type="http://schemas.openxmlformats.org/officeDocument/2006/relationships/oleObject" Target="../embeddings/oleObject13.bin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image" Target="../media/image5.emf"/><Relationship Id="rId22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7"/>
  <sheetViews>
    <sheetView tabSelected="1" workbookViewId="0">
      <selection activeCell="I4" sqref="I4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83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80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81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82</v>
      </c>
      <c r="C14" s="20"/>
      <c r="G14" s="4"/>
    </row>
    <row r="15" spans="2:7" x14ac:dyDescent="0.25">
      <c r="B15" s="3" t="s">
        <v>33</v>
      </c>
      <c r="C15">
        <v>25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7.6199997561600075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64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65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66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89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27" t="s">
        <v>9</v>
      </c>
      <c r="C37" s="29">
        <v>14.738542702209223</v>
      </c>
      <c r="D37" t="s">
        <v>11</v>
      </c>
      <c r="E37" t="s">
        <v>10</v>
      </c>
      <c r="I37" s="11"/>
      <c r="P37" s="4"/>
    </row>
    <row r="38" spans="2:16" x14ac:dyDescent="0.25">
      <c r="B38" s="24" t="s">
        <v>9</v>
      </c>
      <c r="C38" s="11">
        <f>mdot*0.45359</f>
        <v>6.6852555842950814</v>
      </c>
      <c r="D38" t="s">
        <v>71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84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3"/>
      <c r="P44" s="4"/>
    </row>
    <row r="45" spans="2:16" x14ac:dyDescent="0.25">
      <c r="B45" s="22" t="s">
        <v>24</v>
      </c>
      <c r="P45" s="4"/>
    </row>
    <row r="46" spans="2:16" x14ac:dyDescent="0.25">
      <c r="B46" s="3" t="s">
        <v>51</v>
      </c>
      <c r="C46" s="28">
        <v>125</v>
      </c>
      <c r="D46" t="s">
        <v>1</v>
      </c>
      <c r="P46" s="4"/>
    </row>
    <row r="47" spans="2:16" x14ac:dyDescent="0.25">
      <c r="B47" s="24" t="str">
        <f>B46</f>
        <v>Po2</v>
      </c>
      <c r="C47" s="21">
        <f>Po_2*6.89476</f>
        <v>861.84500000000003</v>
      </c>
      <c r="D47" t="s">
        <v>69</v>
      </c>
      <c r="P47" s="4"/>
    </row>
    <row r="48" spans="2:16" x14ac:dyDescent="0.25">
      <c r="B48" s="24"/>
      <c r="C48" s="21"/>
      <c r="P48" s="4"/>
    </row>
    <row r="49" spans="2:16" x14ac:dyDescent="0.25">
      <c r="B49" s="32" t="s">
        <v>100</v>
      </c>
      <c r="P49" s="4"/>
    </row>
    <row r="50" spans="2:16" x14ac:dyDescent="0.25">
      <c r="B50" s="3" t="s">
        <v>52</v>
      </c>
      <c r="C50" s="11">
        <f>To_1</f>
        <v>659.67000000000007</v>
      </c>
      <c r="D50" t="s">
        <v>21</v>
      </c>
      <c r="P50" s="4"/>
    </row>
    <row r="51" spans="2:16" x14ac:dyDescent="0.25">
      <c r="B51" s="3" t="s">
        <v>52</v>
      </c>
      <c r="C51" s="11">
        <f>C50-C8</f>
        <v>200.00000000000006</v>
      </c>
      <c r="D51" t="s">
        <v>2</v>
      </c>
      <c r="J51" s="19"/>
      <c r="P51" s="4"/>
    </row>
    <row r="52" spans="2:16" x14ac:dyDescent="0.25">
      <c r="B52" s="24" t="str">
        <f>B51</f>
        <v>To2</v>
      </c>
      <c r="C52" s="21">
        <f>(C51+459.67)/1.8-273.15</f>
        <v>93.333333333333371</v>
      </c>
      <c r="D52" t="s">
        <v>84</v>
      </c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32" t="s">
        <v>101</v>
      </c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 t="s">
        <v>37</v>
      </c>
      <c r="C58" s="14">
        <v>0.55940802804528633</v>
      </c>
      <c r="D58" s="15" t="s">
        <v>75</v>
      </c>
      <c r="E58" s="15"/>
      <c r="P58" s="4"/>
    </row>
    <row r="59" spans="2:16" x14ac:dyDescent="0.25">
      <c r="B59" s="3" t="s">
        <v>20</v>
      </c>
      <c r="C59">
        <f>(Gam/Z/Rg)^0.5*M_2*(1+M_2^2*(Gam-1)/2)^(-(Gam+1)/2/(Gam-1))</f>
        <v>7.5529954132892665E-2</v>
      </c>
      <c r="D59" t="s">
        <v>97</v>
      </c>
      <c r="P59" s="4"/>
    </row>
    <row r="60" spans="2:16" x14ac:dyDescent="0.25">
      <c r="B60" s="3"/>
      <c r="P60" s="4"/>
    </row>
    <row r="61" spans="2:16" x14ac:dyDescent="0.25">
      <c r="B61" s="3" t="s">
        <v>99</v>
      </c>
      <c r="C61" s="34">
        <f>(Po_2/To_2^0.5)*gc^0.5*144*A*C59</f>
        <v>14.73841518401613</v>
      </c>
      <c r="D61" t="s">
        <v>11</v>
      </c>
      <c r="P61" s="4"/>
    </row>
    <row r="62" spans="2:16" x14ac:dyDescent="0.25">
      <c r="B62" s="24" t="s">
        <v>9</v>
      </c>
      <c r="C62" s="11">
        <f>mdot*0.45359</f>
        <v>6.6852555842950814</v>
      </c>
      <c r="D62" t="s">
        <v>71</v>
      </c>
      <c r="I62" s="11"/>
      <c r="P62" s="4"/>
    </row>
    <row r="63" spans="2:16" x14ac:dyDescent="0.25">
      <c r="B63" s="26"/>
      <c r="C63" s="5"/>
      <c r="D63" s="25"/>
      <c r="P63" s="4"/>
    </row>
    <row r="64" spans="2:16" x14ac:dyDescent="0.25">
      <c r="B64" s="26" t="s">
        <v>98</v>
      </c>
      <c r="C64" s="33">
        <f>C61-mdot</f>
        <v>-1.2751819309286816E-4</v>
      </c>
      <c r="D64" s="25" t="s">
        <v>76</v>
      </c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"/>
      <c r="P71" s="4"/>
    </row>
    <row r="72" spans="2:16" x14ac:dyDescent="0.25">
      <c r="B72" s="3"/>
      <c r="P72" s="4"/>
    </row>
    <row r="73" spans="2:16" x14ac:dyDescent="0.25">
      <c r="B73" s="3"/>
      <c r="P73" s="4"/>
    </row>
    <row r="74" spans="2:16" x14ac:dyDescent="0.25">
      <c r="B74" s="3"/>
      <c r="P74" s="4"/>
    </row>
    <row r="75" spans="2:16" x14ac:dyDescent="0.25">
      <c r="B75" s="3"/>
      <c r="P75" s="4"/>
    </row>
    <row r="76" spans="2:16" x14ac:dyDescent="0.25">
      <c r="B76" s="32" t="s">
        <v>102</v>
      </c>
      <c r="P76" s="4"/>
    </row>
    <row r="77" spans="2:16" x14ac:dyDescent="0.25">
      <c r="B77" s="3"/>
      <c r="P77" s="4"/>
    </row>
    <row r="78" spans="2:16" x14ac:dyDescent="0.25">
      <c r="B78" s="3"/>
      <c r="P78" s="4"/>
    </row>
    <row r="79" spans="2:16" x14ac:dyDescent="0.25">
      <c r="B79" s="3" t="s">
        <v>40</v>
      </c>
      <c r="C79" s="14">
        <v>0.39631560770926511</v>
      </c>
      <c r="D79" s="15" t="s">
        <v>75</v>
      </c>
      <c r="E79" s="15"/>
      <c r="P79" s="4"/>
    </row>
    <row r="80" spans="2:16" ht="15.75" thickBot="1" x14ac:dyDescent="0.3">
      <c r="B80" s="3"/>
      <c r="P80" s="4"/>
    </row>
    <row r="81" spans="2:16" ht="15.75" thickBot="1" x14ac:dyDescent="0.3">
      <c r="B81" s="3"/>
      <c r="E81" s="30" t="s">
        <v>92</v>
      </c>
      <c r="F81" s="31"/>
      <c r="P81" s="4"/>
    </row>
    <row r="82" spans="2:16" x14ac:dyDescent="0.25">
      <c r="B82" s="3"/>
      <c r="P82" s="4"/>
    </row>
    <row r="83" spans="2:16" x14ac:dyDescent="0.25">
      <c r="B83" s="3" t="s">
        <v>36</v>
      </c>
      <c r="C83" s="18">
        <f>f*L/D</f>
        <v>1.7000000000000002</v>
      </c>
      <c r="D83" t="s">
        <v>90</v>
      </c>
      <c r="P83" s="4"/>
    </row>
    <row r="84" spans="2:16" x14ac:dyDescent="0.25">
      <c r="B84" s="26" t="s">
        <v>94</v>
      </c>
      <c r="P84" s="4"/>
    </row>
    <row r="85" spans="2:16" x14ac:dyDescent="0.25">
      <c r="B85" s="3" t="s">
        <v>95</v>
      </c>
      <c r="C85" s="18">
        <f>1/Gam*(1/M_1^2-1/M_2^2)+(Gam+1)/2/Gam*LN((M_1^2/M_2^2)*(1+M_2^2*(Gam-1)/2)/(1+M_1^2*(Gam-1)/2))</f>
        <v>1.6998204097006904</v>
      </c>
      <c r="D85" t="s">
        <v>96</v>
      </c>
      <c r="P85" s="4"/>
    </row>
    <row r="86" spans="2:16" x14ac:dyDescent="0.25">
      <c r="B86" s="26"/>
      <c r="C86" s="25"/>
      <c r="D86" s="25"/>
      <c r="P86" s="4"/>
    </row>
    <row r="87" spans="2:16" x14ac:dyDescent="0.25">
      <c r="B87" s="26" t="s">
        <v>103</v>
      </c>
      <c r="C87" s="33">
        <f>C83-C85</f>
        <v>1.7959029930980641E-4</v>
      </c>
      <c r="D87" s="25" t="s">
        <v>76</v>
      </c>
      <c r="P87" s="4"/>
    </row>
    <row r="88" spans="2:16" x14ac:dyDescent="0.25">
      <c r="B88" s="3"/>
      <c r="P88" s="4"/>
    </row>
    <row r="89" spans="2:16" x14ac:dyDescent="0.25">
      <c r="B89" s="3"/>
      <c r="P89" s="4"/>
    </row>
    <row r="90" spans="2:16" x14ac:dyDescent="0.25">
      <c r="B90" s="3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/>
      <c r="P93" s="4"/>
    </row>
    <row r="94" spans="2:16" x14ac:dyDescent="0.25">
      <c r="B94" s="3"/>
      <c r="P94" s="4"/>
    </row>
    <row r="95" spans="2:16" x14ac:dyDescent="0.25">
      <c r="B95" s="3"/>
      <c r="P95" s="4"/>
    </row>
    <row r="96" spans="2:16" x14ac:dyDescent="0.25">
      <c r="B96" s="3"/>
      <c r="P96" s="4"/>
    </row>
    <row r="97" spans="2:16" ht="15.75" thickBot="1" x14ac:dyDescent="0.3">
      <c r="B97" s="32" t="s">
        <v>104</v>
      </c>
      <c r="P97" s="4"/>
    </row>
    <row r="98" spans="2:16" ht="15.75" thickBot="1" x14ac:dyDescent="0.3">
      <c r="B98" s="3"/>
      <c r="E98" s="30" t="s">
        <v>93</v>
      </c>
      <c r="F98" s="31"/>
      <c r="P98" s="4"/>
    </row>
    <row r="99" spans="2:16" x14ac:dyDescent="0.25">
      <c r="B99" s="26"/>
      <c r="C99" s="10"/>
      <c r="D99" s="25"/>
      <c r="P99" s="4"/>
    </row>
    <row r="100" spans="2:16" x14ac:dyDescent="0.25">
      <c r="B100" s="3" t="s">
        <v>38</v>
      </c>
      <c r="C100" s="11">
        <f>Po_2*(M_2*(1+M_2^2*(Gam-1)/2)^(-(Gam+1)/2/(Gam-1)))/(M_1*(1+M_1^2*(Gam-1)/2)^(-(Gam+1)/2/(Gam-1)))</f>
        <v>161.36209853512761</v>
      </c>
      <c r="D100" t="s">
        <v>1</v>
      </c>
      <c r="P100" s="4"/>
    </row>
    <row r="101" spans="2:16" x14ac:dyDescent="0.25">
      <c r="B101" s="24" t="s">
        <v>38</v>
      </c>
      <c r="C101" s="21">
        <f>Po_1*6.89476</f>
        <v>1112.5529424960564</v>
      </c>
      <c r="D101" t="s">
        <v>69</v>
      </c>
      <c r="P101" s="4"/>
    </row>
    <row r="102" spans="2:16" x14ac:dyDescent="0.25">
      <c r="B102" s="26"/>
      <c r="C102" s="5"/>
      <c r="D102" s="25"/>
      <c r="P102" s="4"/>
    </row>
    <row r="103" spans="2:16" x14ac:dyDescent="0.25">
      <c r="B103" s="26"/>
      <c r="C103" s="5"/>
      <c r="D103" s="25"/>
      <c r="P103" s="4"/>
    </row>
    <row r="104" spans="2:16" x14ac:dyDescent="0.25">
      <c r="B104" s="26"/>
      <c r="C104" s="5"/>
      <c r="D104" s="25"/>
      <c r="P104" s="4"/>
    </row>
    <row r="105" spans="2:16" x14ac:dyDescent="0.25">
      <c r="B105" s="26"/>
      <c r="C105" s="5"/>
      <c r="D105" s="25"/>
      <c r="P105" s="4"/>
    </row>
    <row r="106" spans="2:16" x14ac:dyDescent="0.25">
      <c r="B106" s="32" t="s">
        <v>105</v>
      </c>
      <c r="C106" s="5"/>
      <c r="D106" s="25"/>
      <c r="P106" s="4"/>
    </row>
    <row r="107" spans="2:16" x14ac:dyDescent="0.25">
      <c r="B107" s="26"/>
      <c r="C107" s="5"/>
      <c r="D107" s="25"/>
      <c r="P107" s="4"/>
    </row>
    <row r="108" spans="2:16" x14ac:dyDescent="0.25">
      <c r="B108" s="3"/>
      <c r="P108" s="4"/>
    </row>
    <row r="109" spans="2:16" x14ac:dyDescent="0.25">
      <c r="B109" s="3" t="s">
        <v>41</v>
      </c>
      <c r="C109" s="10">
        <f>Po_1/(1+M_1^2*(Gam-1)/2)^(Gam/(Gam-1))</f>
        <v>144.80618673369261</v>
      </c>
      <c r="D109" t="s">
        <v>1</v>
      </c>
      <c r="P109" s="4"/>
    </row>
    <row r="110" spans="2:16" x14ac:dyDescent="0.25">
      <c r="B110" s="24" t="str">
        <f>B109</f>
        <v>P1</v>
      </c>
      <c r="C110" s="21">
        <f>P_1*6.89476</f>
        <v>998.40390404399443</v>
      </c>
      <c r="D110" t="s">
        <v>69</v>
      </c>
      <c r="P110" s="4"/>
    </row>
    <row r="111" spans="2:16" x14ac:dyDescent="0.25">
      <c r="B111" s="3" t="s">
        <v>42</v>
      </c>
      <c r="C111" s="10">
        <f>To_1/(1+M_1^2*(Gam-1)/2)</f>
        <v>639.57877619575197</v>
      </c>
      <c r="D111" t="s">
        <v>21</v>
      </c>
      <c r="P111" s="4"/>
    </row>
    <row r="112" spans="2:16" x14ac:dyDescent="0.25">
      <c r="B112" s="3" t="s">
        <v>42</v>
      </c>
      <c r="C112" s="10">
        <f>C111-C8</f>
        <v>179.90877619575195</v>
      </c>
      <c r="D112" t="s">
        <v>2</v>
      </c>
      <c r="P112" s="4"/>
    </row>
    <row r="113" spans="2:16" x14ac:dyDescent="0.25">
      <c r="B113" s="24" t="str">
        <f>B112</f>
        <v>T1</v>
      </c>
      <c r="C113" s="21">
        <f>(C112+459.67)/1.8-273.15</f>
        <v>82.171542330973352</v>
      </c>
      <c r="D113" t="s">
        <v>84</v>
      </c>
      <c r="P113" s="4"/>
    </row>
    <row r="114" spans="2:16" x14ac:dyDescent="0.25">
      <c r="B114" s="3" t="s">
        <v>43</v>
      </c>
      <c r="C114" s="10">
        <f>P_1*144/Z/Rg/T_1</f>
        <v>0.61107810204407864</v>
      </c>
      <c r="D114" t="s">
        <v>26</v>
      </c>
      <c r="P114" s="4"/>
    </row>
    <row r="115" spans="2:16" x14ac:dyDescent="0.25">
      <c r="B115" s="24" t="str">
        <f>B114</f>
        <v>rho1</v>
      </c>
      <c r="C115" s="21">
        <f>rho_1*16.01846</f>
        <v>9.7885301344689921</v>
      </c>
      <c r="D115" t="s">
        <v>85</v>
      </c>
      <c r="P115" s="4"/>
    </row>
    <row r="116" spans="2:16" x14ac:dyDescent="0.25">
      <c r="B116" s="3" t="s">
        <v>44</v>
      </c>
      <c r="C116" s="11">
        <f>mdot/rho_1/A</f>
        <v>491.34656502856018</v>
      </c>
      <c r="D116" t="s">
        <v>25</v>
      </c>
      <c r="P116" s="4"/>
    </row>
    <row r="117" spans="2:16" x14ac:dyDescent="0.25">
      <c r="B117" s="24" t="str">
        <f>B116</f>
        <v>V1</v>
      </c>
      <c r="C117" s="21">
        <f>V_1/3.28</f>
        <v>149.80078202090249</v>
      </c>
      <c r="D117" t="s">
        <v>86</v>
      </c>
      <c r="P117" s="4"/>
    </row>
    <row r="118" spans="2:16" x14ac:dyDescent="0.25">
      <c r="B118" s="3" t="s">
        <v>77</v>
      </c>
      <c r="C118" s="11">
        <f>V_1/M_1</f>
        <v>1239.7860580575702</v>
      </c>
      <c r="D118" t="s">
        <v>32</v>
      </c>
      <c r="P118" s="4"/>
    </row>
    <row r="119" spans="2:16" x14ac:dyDescent="0.25">
      <c r="B119" s="24" t="str">
        <f>B118</f>
        <v>c1</v>
      </c>
      <c r="C119" s="21">
        <f>c_1/3.28</f>
        <v>377.9835542858446</v>
      </c>
      <c r="D119" t="s">
        <v>87</v>
      </c>
      <c r="P119" s="4"/>
    </row>
    <row r="120" spans="2:16" x14ac:dyDescent="0.25">
      <c r="B120" s="3"/>
      <c r="P120" s="4"/>
    </row>
    <row r="121" spans="2:16" x14ac:dyDescent="0.25">
      <c r="B121" s="3"/>
      <c r="P121" s="4"/>
    </row>
    <row r="122" spans="2:16" x14ac:dyDescent="0.25">
      <c r="B122" s="3"/>
      <c r="P122" s="4"/>
    </row>
    <row r="123" spans="2:16" x14ac:dyDescent="0.25">
      <c r="B123" s="3"/>
      <c r="P123" s="4"/>
    </row>
    <row r="124" spans="2:16" x14ac:dyDescent="0.25">
      <c r="B124" s="3"/>
      <c r="P124" s="4"/>
    </row>
    <row r="125" spans="2:16" x14ac:dyDescent="0.25">
      <c r="B125" s="3"/>
      <c r="P125" s="4"/>
    </row>
    <row r="126" spans="2:16" x14ac:dyDescent="0.25">
      <c r="B126" s="3" t="s">
        <v>45</v>
      </c>
      <c r="C126" s="10">
        <f>cp*(T_1)</f>
        <v>156.69680016795922</v>
      </c>
      <c r="D126" t="s">
        <v>29</v>
      </c>
      <c r="E126" s="12" t="s">
        <v>88</v>
      </c>
      <c r="P126" s="4"/>
    </row>
    <row r="127" spans="2:16" x14ac:dyDescent="0.25">
      <c r="B127" s="24" t="str">
        <f>B126</f>
        <v>h1</v>
      </c>
      <c r="C127" s="21">
        <f>h_1*2.32442</f>
        <v>364.22917624640775</v>
      </c>
      <c r="D127" t="s">
        <v>70</v>
      </c>
      <c r="E127" s="12"/>
      <c r="P127" s="4"/>
    </row>
    <row r="128" spans="2:16" x14ac:dyDescent="0.25">
      <c r="B128" s="3" t="s">
        <v>46</v>
      </c>
      <c r="C128" s="10">
        <f>h_1+0.5*V_1^2/C10/gc</f>
        <v>161.51812409961317</v>
      </c>
      <c r="D128" t="s">
        <v>29</v>
      </c>
      <c r="P128" s="4"/>
    </row>
    <row r="129" spans="2:16" x14ac:dyDescent="0.25">
      <c r="B129" s="24" t="str">
        <f>B128</f>
        <v>ho1</v>
      </c>
      <c r="C129" s="21">
        <f>ho_1*2.32442</f>
        <v>375.43595801962283</v>
      </c>
      <c r="D129" t="s">
        <v>70</v>
      </c>
      <c r="P129" s="4"/>
    </row>
    <row r="130" spans="2:16" x14ac:dyDescent="0.25">
      <c r="B130" s="3"/>
      <c r="P130" s="4"/>
    </row>
    <row r="131" spans="2:16" ht="15.75" thickBot="1" x14ac:dyDescent="0.3">
      <c r="B131" s="6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8"/>
    </row>
    <row r="133" spans="2:16" ht="15.75" thickBot="1" x14ac:dyDescent="0.3"/>
    <row r="134" spans="2:16" x14ac:dyDescent="0.25">
      <c r="B134" s="13" t="s">
        <v>24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2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 t="s">
        <v>91</v>
      </c>
      <c r="P138" s="4"/>
    </row>
    <row r="139" spans="2:16" x14ac:dyDescent="0.25">
      <c r="B139" s="3" t="s">
        <v>47</v>
      </c>
      <c r="C139" s="10">
        <f>ho_1</f>
        <v>161.51812409961317</v>
      </c>
      <c r="D139" t="s">
        <v>29</v>
      </c>
      <c r="P139" s="4"/>
    </row>
    <row r="140" spans="2:16" x14ac:dyDescent="0.25">
      <c r="B140" s="24" t="str">
        <f>B139</f>
        <v>ho2</v>
      </c>
      <c r="C140" s="21">
        <f>ho_2*2.32442</f>
        <v>375.43595801962283</v>
      </c>
      <c r="D140" t="s">
        <v>70</v>
      </c>
      <c r="P140" s="4"/>
    </row>
    <row r="141" spans="2:16" x14ac:dyDescent="0.25">
      <c r="B141" s="24"/>
      <c r="C141" s="21"/>
      <c r="P141" s="4"/>
    </row>
    <row r="142" spans="2:16" x14ac:dyDescent="0.25">
      <c r="B142" s="3"/>
      <c r="P142" s="4"/>
    </row>
    <row r="143" spans="2:16" x14ac:dyDescent="0.25">
      <c r="B143" s="3" t="s">
        <v>48</v>
      </c>
      <c r="P143" s="4"/>
    </row>
    <row r="144" spans="2:16" x14ac:dyDescent="0.25">
      <c r="B144" s="3"/>
      <c r="P144" s="4"/>
    </row>
    <row r="145" spans="2:16" x14ac:dyDescent="0.25">
      <c r="B145" s="3" t="s">
        <v>49</v>
      </c>
      <c r="C145" s="11">
        <f>P_1*M_1/M_2*((2+M_1^2*(Gam-1))/(2+M_2^2*(Gam-1)))^0.5</f>
        <v>101.07263751891938</v>
      </c>
      <c r="D145" t="s">
        <v>1</v>
      </c>
      <c r="P145" s="4"/>
    </row>
    <row r="146" spans="2:16" x14ac:dyDescent="0.25">
      <c r="B146" s="24" t="str">
        <f>B145</f>
        <v>P2</v>
      </c>
      <c r="C146" s="21">
        <f>P_2*6.89476</f>
        <v>696.8715782599445</v>
      </c>
      <c r="D146" t="s">
        <v>69</v>
      </c>
      <c r="P146" s="4"/>
    </row>
    <row r="147" spans="2:16" x14ac:dyDescent="0.25">
      <c r="B147" s="3" t="s">
        <v>50</v>
      </c>
      <c r="C147" s="11">
        <f>T_1*((2+M_1^2*(Gam-1))/(2+M_2^2*(Gam-1)))</f>
        <v>620.81477491258352</v>
      </c>
      <c r="D147" t="s">
        <v>21</v>
      </c>
      <c r="P147" s="4"/>
    </row>
    <row r="148" spans="2:16" x14ac:dyDescent="0.25">
      <c r="B148" s="3" t="s">
        <v>50</v>
      </c>
      <c r="C148" s="11">
        <f>C147-C8</f>
        <v>161.1447749125835</v>
      </c>
      <c r="D148" t="s">
        <v>2</v>
      </c>
      <c r="P148" s="4"/>
    </row>
    <row r="149" spans="2:16" x14ac:dyDescent="0.25">
      <c r="B149" s="24" t="str">
        <f>B148</f>
        <v>T2</v>
      </c>
      <c r="C149" s="21">
        <f>(C148+459.67)/1.8-273.15</f>
        <v>71.747097173657551</v>
      </c>
      <c r="D149" t="s">
        <v>84</v>
      </c>
      <c r="P149" s="4"/>
    </row>
    <row r="150" spans="2:16" x14ac:dyDescent="0.25">
      <c r="B150" s="24"/>
      <c r="C150" s="21"/>
      <c r="P150" s="4"/>
    </row>
    <row r="151" spans="2:16" x14ac:dyDescent="0.25">
      <c r="B151" s="24"/>
      <c r="C151" s="21"/>
      <c r="P151" s="4"/>
    </row>
    <row r="152" spans="2:16" x14ac:dyDescent="0.25">
      <c r="B152" s="24"/>
      <c r="C152" s="21"/>
      <c r="P152" s="4"/>
    </row>
    <row r="153" spans="2:16" x14ac:dyDescent="0.25">
      <c r="B153" s="3" t="s">
        <v>53</v>
      </c>
      <c r="C153" s="9">
        <f>P_2*144/Z/Rg/T_2</f>
        <v>0.43941532800755723</v>
      </c>
      <c r="D153" t="s">
        <v>26</v>
      </c>
      <c r="P153" s="4"/>
    </row>
    <row r="154" spans="2:16" x14ac:dyDescent="0.25">
      <c r="B154" s="24" t="str">
        <f>B153</f>
        <v>rho2</v>
      </c>
      <c r="C154" s="21">
        <f>rho_2*16.01846</f>
        <v>7.0387568550759356</v>
      </c>
      <c r="D154" t="s">
        <v>85</v>
      </c>
      <c r="P154" s="4"/>
    </row>
    <row r="155" spans="2:16" x14ac:dyDescent="0.25">
      <c r="B155" s="3" t="s">
        <v>54</v>
      </c>
      <c r="C155" s="11">
        <f>mdot/rho_2/A</f>
        <v>683.29688853813991</v>
      </c>
      <c r="D155" t="s">
        <v>25</v>
      </c>
      <c r="P155" s="4"/>
    </row>
    <row r="156" spans="2:16" x14ac:dyDescent="0.25">
      <c r="B156" s="24" t="str">
        <f>B155</f>
        <v>V2</v>
      </c>
      <c r="C156" s="21">
        <f>V_2/3.28</f>
        <v>208.32222211528656</v>
      </c>
      <c r="D156" t="s">
        <v>86</v>
      </c>
      <c r="P156" s="4"/>
    </row>
    <row r="157" spans="2:16" x14ac:dyDescent="0.25">
      <c r="B157" s="3"/>
      <c r="P157" s="4"/>
    </row>
    <row r="158" spans="2:16" x14ac:dyDescent="0.25">
      <c r="B158" s="3" t="s">
        <v>55</v>
      </c>
      <c r="C158" s="17">
        <f>ho_2-0.5*V_2^2/C10/gc</f>
        <v>152.19397200171298</v>
      </c>
      <c r="D158" t="s">
        <v>29</v>
      </c>
      <c r="P158" s="4"/>
    </row>
    <row r="159" spans="2:16" x14ac:dyDescent="0.25">
      <c r="B159" s="24" t="str">
        <f>B158</f>
        <v>h2</v>
      </c>
      <c r="C159" s="21">
        <f>h_2*2.32442</f>
        <v>353.76271240022169</v>
      </c>
      <c r="D159" t="s">
        <v>70</v>
      </c>
      <c r="P159" s="4"/>
    </row>
    <row r="160" spans="2:16" x14ac:dyDescent="0.25">
      <c r="B160" s="3" t="s">
        <v>78</v>
      </c>
      <c r="C160" s="11">
        <f>V_2/M_2</f>
        <v>1221.4642162461498</v>
      </c>
      <c r="D160" t="s">
        <v>32</v>
      </c>
      <c r="P160" s="4"/>
    </row>
    <row r="161" spans="2:16" x14ac:dyDescent="0.25">
      <c r="B161" s="24" t="str">
        <f>B160</f>
        <v>c2</v>
      </c>
      <c r="C161" s="21">
        <f>c_2/3.28</f>
        <v>372.397626904314</v>
      </c>
      <c r="D161" t="s">
        <v>87</v>
      </c>
      <c r="P161" s="4"/>
    </row>
    <row r="162" spans="2:16" x14ac:dyDescent="0.25">
      <c r="B162" s="3"/>
      <c r="P162" s="4"/>
    </row>
    <row r="163" spans="2:16" x14ac:dyDescent="0.25">
      <c r="B163" s="3"/>
      <c r="P163" s="4"/>
    </row>
    <row r="164" spans="2:16" x14ac:dyDescent="0.25">
      <c r="B164" s="3"/>
      <c r="P164" s="4"/>
    </row>
    <row r="165" spans="2:16" x14ac:dyDescent="0.25">
      <c r="B165" s="3"/>
      <c r="P165" s="4"/>
    </row>
    <row r="166" spans="2:16" x14ac:dyDescent="0.25">
      <c r="B166" s="3"/>
      <c r="P166" s="4"/>
    </row>
    <row r="167" spans="2:16" ht="15.75" thickBot="1" x14ac:dyDescent="0.3">
      <c r="B167" s="6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59" r:id="rId4">
          <objectPr defaultSize="0" r:id="rId5">
            <anchor moveWithCells="1" sizeWithCells="1">
              <from>
                <xdr:col>4</xdr:col>
                <xdr:colOff>590550</xdr:colOff>
                <xdr:row>152</xdr:row>
                <xdr:rowOff>152400</xdr:rowOff>
              </from>
              <to>
                <xdr:col>6</xdr:col>
                <xdr:colOff>457200</xdr:colOff>
                <xdr:row>154</xdr:row>
                <xdr:rowOff>57150</xdr:rowOff>
              </to>
            </anchor>
          </objectPr>
        </oleObject>
      </mc:Choice>
      <mc:Fallback>
        <oleObject progId="Equation.3" shapeId="1059" r:id="rId4"/>
      </mc:Fallback>
    </mc:AlternateContent>
    <mc:AlternateContent xmlns:mc="http://schemas.openxmlformats.org/markup-compatibility/2006">
      <mc:Choice Requires="x14">
        <oleObject progId="Equation.3" shapeId="1058" r:id="rId6">
          <objectPr defaultSize="0" r:id="rId7">
            <anchor moveWithCells="1" sizeWithCells="1">
              <from>
                <xdr:col>4</xdr:col>
                <xdr:colOff>581025</xdr:colOff>
                <xdr:row>147</xdr:row>
                <xdr:rowOff>38100</xdr:rowOff>
              </from>
              <to>
                <xdr:col>8</xdr:col>
                <xdr:colOff>171450</xdr:colOff>
                <xdr:row>151</xdr:row>
                <xdr:rowOff>57150</xdr:rowOff>
              </to>
            </anchor>
          </objectPr>
        </oleObject>
      </mc:Choice>
      <mc:Fallback>
        <oleObject progId="Equation.3" shapeId="1058" r:id="rId6"/>
      </mc:Fallback>
    </mc:AlternateContent>
    <mc:AlternateContent xmlns:mc="http://schemas.openxmlformats.org/markup-compatibility/2006">
      <mc:Choice Requires="x14">
        <oleObject progId="Equation.3" shapeId="1057" r:id="rId8">
          <objectPr defaultSize="0" r:id="rId9">
            <anchor moveWithCells="1" sizeWithCells="1">
              <from>
                <xdr:col>4</xdr:col>
                <xdr:colOff>561975</xdr:colOff>
                <xdr:row>142</xdr:row>
                <xdr:rowOff>57150</xdr:rowOff>
              </from>
              <to>
                <xdr:col>9</xdr:col>
                <xdr:colOff>152400</xdr:colOff>
                <xdr:row>146</xdr:row>
                <xdr:rowOff>133350</xdr:rowOff>
              </to>
            </anchor>
          </objectPr>
        </oleObject>
      </mc:Choice>
      <mc:Fallback>
        <oleObject progId="Equation.3" shapeId="1057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r:id="rId11">
            <anchor moveWithCells="1" sizeWithCells="1">
              <from>
                <xdr:col>5</xdr:col>
                <xdr:colOff>257175</xdr:colOff>
                <xdr:row>126</xdr:row>
                <xdr:rowOff>114300</xdr:rowOff>
              </from>
              <to>
                <xdr:col>7</xdr:col>
                <xdr:colOff>285750</xdr:colOff>
                <xdr:row>130</xdr:row>
                <xdr:rowOff>66675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7" r:id="rId12">
          <objectPr defaultSize="0" r:id="rId5">
            <anchor moveWithCells="1" sizeWithCells="1">
              <from>
                <xdr:col>5</xdr:col>
                <xdr:colOff>171450</xdr:colOff>
                <xdr:row>116</xdr:row>
                <xdr:rowOff>19050</xdr:rowOff>
              </from>
              <to>
                <xdr:col>7</xdr:col>
                <xdr:colOff>38100</xdr:colOff>
                <xdr:row>117</xdr:row>
                <xdr:rowOff>114300</xdr:rowOff>
              </to>
            </anchor>
          </objectPr>
        </oleObject>
      </mc:Choice>
      <mc:Fallback>
        <oleObject progId="Equation.3" shapeId="1037" r:id="rId12"/>
      </mc:Fallback>
    </mc:AlternateContent>
    <mc:AlternateContent xmlns:mc="http://schemas.openxmlformats.org/markup-compatibility/2006">
      <mc:Choice Requires="x14">
        <oleObject progId="Equation.3" shapeId="1038" r:id="rId13">
          <objectPr defaultSize="0" r:id="rId14">
            <anchor moveWithCells="1" sizeWithCells="1">
              <from>
                <xdr:col>6</xdr:col>
                <xdr:colOff>600075</xdr:colOff>
                <xdr:row>119</xdr:row>
                <xdr:rowOff>180975</xdr:rowOff>
              </from>
              <to>
                <xdr:col>9</xdr:col>
                <xdr:colOff>104775</xdr:colOff>
                <xdr:row>123</xdr:row>
                <xdr:rowOff>104775</xdr:rowOff>
              </to>
            </anchor>
          </objectPr>
        </oleObject>
      </mc:Choice>
      <mc:Fallback>
        <oleObject progId="Equation.3" shapeId="1038" r:id="rId13"/>
      </mc:Fallback>
    </mc:AlternateContent>
    <mc:AlternateContent xmlns:mc="http://schemas.openxmlformats.org/markup-compatibility/2006">
      <mc:Choice Requires="x14">
        <oleObject progId="Equation.3" shapeId="1039" r:id="rId15">
          <objectPr defaultSize="0" r:id="rId16">
            <anchor moveWithCells="1" sizeWithCells="1">
              <from>
                <xdr:col>5</xdr:col>
                <xdr:colOff>114300</xdr:colOff>
                <xdr:row>107</xdr:row>
                <xdr:rowOff>76200</xdr:rowOff>
              </from>
              <to>
                <xdr:col>9</xdr:col>
                <xdr:colOff>352425</xdr:colOff>
                <xdr:row>112</xdr:row>
                <xdr:rowOff>19050</xdr:rowOff>
              </to>
            </anchor>
          </objectPr>
        </oleObject>
      </mc:Choice>
      <mc:Fallback>
        <oleObject progId="Equation.3" shapeId="1039" r:id="rId15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161925</xdr:colOff>
                <xdr:row>112</xdr:row>
                <xdr:rowOff>85725</xdr:rowOff>
              </from>
              <to>
                <xdr:col>8</xdr:col>
                <xdr:colOff>247650</xdr:colOff>
                <xdr:row>115</xdr:row>
                <xdr:rowOff>133350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42" r:id="rId19">
          <objectPr defaultSize="0" r:id="rId20">
            <anchor moveWithCells="1" sizeWithCells="1">
              <from>
                <xdr:col>5</xdr:col>
                <xdr:colOff>190500</xdr:colOff>
                <xdr:row>118</xdr:row>
                <xdr:rowOff>0</xdr:rowOff>
              </from>
              <to>
                <xdr:col>6</xdr:col>
                <xdr:colOff>552450</xdr:colOff>
                <xdr:row>119</xdr:row>
                <xdr:rowOff>95250</xdr:rowOff>
              </to>
            </anchor>
          </objectPr>
        </oleObject>
      </mc:Choice>
      <mc:Fallback>
        <oleObject progId="Equation.3" shapeId="1042" r:id="rId19"/>
      </mc:Fallback>
    </mc:AlternateContent>
    <mc:AlternateContent xmlns:mc="http://schemas.openxmlformats.org/markup-compatibility/2006">
      <mc:Choice Requires="x14">
        <oleObject progId="Equation.3" shapeId="1060" r:id="rId21">
          <objectPr defaultSize="0" r:id="rId20">
            <anchor moveWithCells="1" sizeWithCells="1">
              <from>
                <xdr:col>4</xdr:col>
                <xdr:colOff>600075</xdr:colOff>
                <xdr:row>155</xdr:row>
                <xdr:rowOff>19050</xdr:rowOff>
              </from>
              <to>
                <xdr:col>6</xdr:col>
                <xdr:colOff>352425</xdr:colOff>
                <xdr:row>156</xdr:row>
                <xdr:rowOff>114300</xdr:rowOff>
              </to>
            </anchor>
          </objectPr>
        </oleObject>
      </mc:Choice>
      <mc:Fallback>
        <oleObject progId="Equation.3" shapeId="1060" r:id="rId21"/>
      </mc:Fallback>
    </mc:AlternateContent>
    <mc:AlternateContent xmlns:mc="http://schemas.openxmlformats.org/markup-compatibility/2006">
      <mc:Choice Requires="x14">
        <oleObject progId="Equation.3" shapeId="1061" r:id="rId22">
          <objectPr defaultSize="0" r:id="rId11">
            <anchor moveWithCells="1" sizeWithCells="1">
              <from>
                <xdr:col>5</xdr:col>
                <xdr:colOff>9525</xdr:colOff>
                <xdr:row>157</xdr:row>
                <xdr:rowOff>57150</xdr:rowOff>
              </from>
              <to>
                <xdr:col>7</xdr:col>
                <xdr:colOff>38100</xdr:colOff>
                <xdr:row>161</xdr:row>
                <xdr:rowOff>9525</xdr:rowOff>
              </to>
            </anchor>
          </objectPr>
        </oleObject>
      </mc:Choice>
      <mc:Fallback>
        <oleObject progId="Equation.3" shapeId="1061" r:id="rId22"/>
      </mc:Fallback>
    </mc:AlternateContent>
    <mc:AlternateContent xmlns:mc="http://schemas.openxmlformats.org/markup-compatibility/2006">
      <mc:Choice Requires="x14">
        <oleObject progId="Equation.3" shapeId="1032" r:id="rId23">
          <objectPr defaultSize="0" r:id="rId24">
            <anchor moveWithCells="1" sizeWithCells="1">
              <from>
                <xdr:col>4</xdr:col>
                <xdr:colOff>542925</xdr:colOff>
                <xdr:row>61</xdr:row>
                <xdr:rowOff>85725</xdr:rowOff>
              </from>
              <to>
                <xdr:col>7</xdr:col>
                <xdr:colOff>504825</xdr:colOff>
                <xdr:row>65</xdr:row>
                <xdr:rowOff>9525</xdr:rowOff>
              </to>
            </anchor>
          </objectPr>
        </oleObject>
      </mc:Choice>
      <mc:Fallback>
        <oleObject progId="Equation.3" shapeId="1032" r:id="rId23"/>
      </mc:Fallback>
    </mc:AlternateContent>
    <mc:AlternateContent xmlns:mc="http://schemas.openxmlformats.org/markup-compatibility/2006">
      <mc:Choice Requires="x14">
        <oleObject progId="Equation.3" shapeId="1033" r:id="rId25">
          <objectPr defaultSize="0" r:id="rId26">
            <anchor moveWithCells="1" sizeWithCells="1">
              <from>
                <xdr:col>5</xdr:col>
                <xdr:colOff>228600</xdr:colOff>
                <xdr:row>56</xdr:row>
                <xdr:rowOff>28575</xdr:rowOff>
              </from>
              <to>
                <xdr:col>12</xdr:col>
                <xdr:colOff>381000</xdr:colOff>
                <xdr:row>60</xdr:row>
                <xdr:rowOff>9525</xdr:rowOff>
              </to>
            </anchor>
          </objectPr>
        </oleObject>
      </mc:Choice>
      <mc:Fallback>
        <oleObject progId="Equation.3" shapeId="1033" r:id="rId2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D72FB-D343-4728-9E34-F2A8701B81D6}">
  <dimension ref="B1:AE20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5" x14ac:dyDescent="0.25"/>
  <sheetData>
    <row r="1" spans="2:31" x14ac:dyDescent="0.25">
      <c r="B1" s="35" t="s">
        <v>106</v>
      </c>
      <c r="C1" s="35" t="s">
        <v>106</v>
      </c>
      <c r="D1" s="35" t="s">
        <v>107</v>
      </c>
      <c r="E1" s="35" t="s">
        <v>20</v>
      </c>
      <c r="F1" s="35" t="s">
        <v>108</v>
      </c>
      <c r="G1" s="35" t="s">
        <v>108</v>
      </c>
      <c r="H1" s="35" t="s">
        <v>109</v>
      </c>
      <c r="I1" s="35" t="s">
        <v>109</v>
      </c>
      <c r="J1" s="35" t="s">
        <v>68</v>
      </c>
      <c r="K1" s="35" t="s">
        <v>68</v>
      </c>
      <c r="L1" s="35" t="s">
        <v>68</v>
      </c>
      <c r="M1" s="35" t="s">
        <v>68</v>
      </c>
      <c r="N1" s="35" t="s">
        <v>110</v>
      </c>
      <c r="O1" s="35" t="s">
        <v>110</v>
      </c>
      <c r="P1" s="35" t="s">
        <v>110</v>
      </c>
      <c r="Q1" s="35" t="s">
        <v>110</v>
      </c>
      <c r="R1" s="35" t="s">
        <v>111</v>
      </c>
      <c r="S1" s="35" t="s">
        <v>111</v>
      </c>
      <c r="T1" s="35" t="s">
        <v>67</v>
      </c>
      <c r="U1" s="35" t="s">
        <v>67</v>
      </c>
      <c r="V1" s="35" t="s">
        <v>112</v>
      </c>
      <c r="W1" s="35" t="s">
        <v>112</v>
      </c>
      <c r="Y1" s="36" t="s">
        <v>113</v>
      </c>
      <c r="Z1" s="36" t="s">
        <v>107</v>
      </c>
      <c r="AA1" s="36" t="s">
        <v>114</v>
      </c>
      <c r="AB1" s="36" t="s">
        <v>115</v>
      </c>
      <c r="AC1" s="36" t="s">
        <v>116</v>
      </c>
      <c r="AD1" s="36" t="s">
        <v>117</v>
      </c>
      <c r="AE1" s="36" t="s">
        <v>118</v>
      </c>
    </row>
    <row r="2" spans="2:31" x14ac:dyDescent="0.25">
      <c r="B2" s="35" t="s">
        <v>15</v>
      </c>
      <c r="C2" s="35" t="s">
        <v>58</v>
      </c>
      <c r="D2" s="35"/>
      <c r="E2" s="35" t="s">
        <v>119</v>
      </c>
      <c r="F2" s="35" t="s">
        <v>1</v>
      </c>
      <c r="G2" s="35" t="s">
        <v>69</v>
      </c>
      <c r="H2" s="35" t="s">
        <v>1</v>
      </c>
      <c r="I2" s="35" t="s">
        <v>69</v>
      </c>
      <c r="J2" s="35" t="s">
        <v>21</v>
      </c>
      <c r="K2" s="35" t="s">
        <v>120</v>
      </c>
      <c r="L2" s="35" t="s">
        <v>2</v>
      </c>
      <c r="M2" s="35" t="s">
        <v>84</v>
      </c>
      <c r="N2" s="35" t="s">
        <v>21</v>
      </c>
      <c r="O2" s="35" t="s">
        <v>120</v>
      </c>
      <c r="P2" s="35" t="s">
        <v>2</v>
      </c>
      <c r="Q2" s="35" t="s">
        <v>84</v>
      </c>
      <c r="R2" s="35" t="s">
        <v>121</v>
      </c>
      <c r="S2" s="35" t="s">
        <v>85</v>
      </c>
      <c r="T2" s="35" t="s">
        <v>25</v>
      </c>
      <c r="U2" s="35" t="s">
        <v>86</v>
      </c>
      <c r="V2" s="35" t="s">
        <v>25</v>
      </c>
      <c r="W2" s="35" t="s">
        <v>86</v>
      </c>
      <c r="Y2" s="36"/>
      <c r="Z2" s="36"/>
      <c r="AA2" s="36"/>
      <c r="AB2" s="36"/>
      <c r="AC2" s="36"/>
      <c r="AD2" s="36"/>
      <c r="AE2" s="36"/>
    </row>
    <row r="3" spans="2:31" x14ac:dyDescent="0.25">
      <c r="B3">
        <v>0</v>
      </c>
      <c r="C3">
        <f>B3/3.28</f>
        <v>0</v>
      </c>
      <c r="D3">
        <f>M_1</f>
        <v>0.39631560770926511</v>
      </c>
      <c r="E3">
        <f>(Gam/Z/Rg)^0.5*D3*(1+D3^2*(Gam-1)/2)^(-(Gam+1)/2/(Gam-1))</f>
        <v>5.8509677007926857E-2</v>
      </c>
      <c r="F3">
        <f>P_1</f>
        <v>144.80618673369261</v>
      </c>
      <c r="G3" s="21">
        <f>F3*6.89476</f>
        <v>998.40390404399443</v>
      </c>
      <c r="H3">
        <f>Po_1</f>
        <v>161.36209853512761</v>
      </c>
      <c r="I3" s="21">
        <f>H3*6.89476</f>
        <v>1112.5529424960564</v>
      </c>
      <c r="J3">
        <f>T_1</f>
        <v>639.57877619575197</v>
      </c>
      <c r="K3">
        <f>J3/1.8</f>
        <v>355.32154233097333</v>
      </c>
      <c r="L3">
        <f>J3-'Example 6.3 - Pipe P2'!$C$8</f>
        <v>179.90877619575195</v>
      </c>
      <c r="M3">
        <f>K3-'Example 6.3 - Pipe P2'!$C$9</f>
        <v>82.171542330973352</v>
      </c>
      <c r="N3">
        <f>To_1</f>
        <v>659.67000000000007</v>
      </c>
      <c r="O3">
        <f>N3/1.8</f>
        <v>366.48333333333335</v>
      </c>
      <c r="P3">
        <f>N3-'Example 6.3 - Pipe P2'!$C$8</f>
        <v>200.00000000000006</v>
      </c>
      <c r="Q3">
        <f>O3-'Example 6.3 - Pipe P2'!$C$9</f>
        <v>93.333333333333371</v>
      </c>
      <c r="R3">
        <f>rho_1</f>
        <v>0.61107810204407864</v>
      </c>
      <c r="S3">
        <f>R3*16.01846</f>
        <v>9.7885301344689921</v>
      </c>
      <c r="T3">
        <f>(Gam*F3/R3*gc*144)^0.5</f>
        <v>1239.7753314015406</v>
      </c>
      <c r="U3">
        <f>T3/3.28</f>
        <v>377.98028396388435</v>
      </c>
      <c r="V3">
        <f>D3*T3</f>
        <v>491.34231388735708</v>
      </c>
      <c r="W3">
        <f>V3/3.28</f>
        <v>149.79948594126742</v>
      </c>
      <c r="Y3">
        <f>B3/$B$20</f>
        <v>0</v>
      </c>
      <c r="Z3">
        <f>D3</f>
        <v>0.39631560770926511</v>
      </c>
      <c r="AA3">
        <f>F3/$F$3</f>
        <v>1</v>
      </c>
      <c r="AB3">
        <f>H3/$H$3</f>
        <v>1</v>
      </c>
      <c r="AC3">
        <f>J3/$J$3</f>
        <v>1</v>
      </c>
      <c r="AD3">
        <f>R3/$R$3</f>
        <v>1</v>
      </c>
      <c r="AE3">
        <f>V3/$V$3</f>
        <v>1</v>
      </c>
    </row>
    <row r="4" spans="2:31" x14ac:dyDescent="0.25">
      <c r="B4">
        <f>(1/Gam*(1/M_1^2-1/D4^2)+(Gam+1)/2/Gam*LN((M_1^2/D4^2)*(1+D4^2*(Gam-1)/2)/(1+M_1^2*(Gam-1)/2)))*D/f</f>
        <v>2.6427794024710125</v>
      </c>
      <c r="C4">
        <f>B4/3.28</f>
        <v>0.80572542758262578</v>
      </c>
      <c r="D4">
        <f>D3+0.01</f>
        <v>0.40631560770926511</v>
      </c>
      <c r="E4">
        <f>(Gam/Z/Rg)^0.5*D4*(1+D4^2*(Gam-1)/2)^(-(Gam+1)/2/(Gam-1))</f>
        <v>5.9706805406042861E-2</v>
      </c>
      <c r="F4">
        <f>H4/(1+(Gam-1)/2*D4^2)^(Gam/(Gam-1))</f>
        <v>141.13373876246453</v>
      </c>
      <c r="G4" s="21">
        <f>F4*6.89476</f>
        <v>973.08325666988992</v>
      </c>
      <c r="H4">
        <f>mdot*N4^0.5/A/E4/gc^0.5/144</f>
        <v>158.12813780544718</v>
      </c>
      <c r="I4" s="21">
        <f>H4*6.89476</f>
        <v>1090.2555594154849</v>
      </c>
      <c r="J4">
        <f>N4/(1+(Gam-1)/2*D4^2)</f>
        <v>638.58490066862566</v>
      </c>
      <c r="K4">
        <f>J4/1.8</f>
        <v>354.76938926034757</v>
      </c>
      <c r="L4">
        <f>J4-'Example 6.3 - Pipe P2'!$C$8</f>
        <v>178.91490066862565</v>
      </c>
      <c r="M4">
        <f>K4-'Example 6.3 - Pipe P2'!$C$9</f>
        <v>81.619389260347589</v>
      </c>
      <c r="N4">
        <f>N3</f>
        <v>659.67000000000007</v>
      </c>
      <c r="O4">
        <f>O3</f>
        <v>366.48333333333335</v>
      </c>
      <c r="P4">
        <f>N4-'Example 6.3 - Pipe P2'!$C$8</f>
        <v>200.00000000000006</v>
      </c>
      <c r="Q4">
        <f>O4-'Example 6.3 - Pipe P2'!$C$9</f>
        <v>93.333333333333371</v>
      </c>
      <c r="R4">
        <f>F4/J4/Rg/Z*144</f>
        <v>0.59650741785068284</v>
      </c>
      <c r="S4">
        <f>R4*16.01846</f>
        <v>9.5551302125444497</v>
      </c>
      <c r="T4">
        <f>(Gam*F4/R4*gc*144)^0.5</f>
        <v>1238.8116804271533</v>
      </c>
      <c r="U4">
        <f>T4/3.28</f>
        <v>377.68648793510772</v>
      </c>
      <c r="V4">
        <f>D4*T4</f>
        <v>503.34852077009469</v>
      </c>
      <c r="W4">
        <f>V4/3.28</f>
        <v>153.45991486893132</v>
      </c>
      <c r="Y4">
        <f>B4/$B$20</f>
        <v>0.10572234475033311</v>
      </c>
      <c r="Z4">
        <f>D4</f>
        <v>0.40631560770926511</v>
      </c>
      <c r="AA4">
        <f>F4/$F$3</f>
        <v>0.97463887383498371</v>
      </c>
      <c r="AB4">
        <f>H4/$H$3</f>
        <v>0.97995836222360222</v>
      </c>
      <c r="AC4">
        <f>J4/$J$3</f>
        <v>0.99844604673557502</v>
      </c>
      <c r="AD4">
        <f>R4/$R$3</f>
        <v>0.97615577428702427</v>
      </c>
      <c r="AE4">
        <f>V4/$V$3</f>
        <v>1.0244355239583336</v>
      </c>
    </row>
    <row r="5" spans="2:31" x14ac:dyDescent="0.25">
      <c r="B5">
        <f>(1/Gam*(1/M_1^2-1/D5^2)+(Gam+1)/2/Gam*LN((M_1^2/D5^2)*(1+D5^2*(Gam-1)/2)/(1+M_1^2*(Gam-1)/2)))*D/f</f>
        <v>5.0698183870673281</v>
      </c>
      <c r="C5">
        <f>B5/3.28</f>
        <v>1.5456763375205269</v>
      </c>
      <c r="D5">
        <f>D4+0.01</f>
        <v>0.41631560770926512</v>
      </c>
      <c r="E5">
        <f>(Gam/Z/Rg)^0.5*D5*(1+D5^2*(Gam-1)/2)^(-(Gam+1)/2/(Gam-1))</f>
        <v>6.0884900970333271E-2</v>
      </c>
      <c r="F5">
        <f>H5/(1+(Gam-1)/2*D5^2)^(Gam/(Gam-1))</f>
        <v>137.63411317898232</v>
      </c>
      <c r="G5" s="21">
        <f>F5*6.89476</f>
        <v>948.95417818192004</v>
      </c>
      <c r="H5">
        <f>mdot*N5^0.5/A/E5/gc^0.5/144</f>
        <v>155.06842916226697</v>
      </c>
      <c r="I5" s="21">
        <f>H5*6.89476</f>
        <v>1069.1596026508319</v>
      </c>
      <c r="J5">
        <f>N5/(1+(Gam-1)/2*D5^2)</f>
        <v>637.56945989462986</v>
      </c>
      <c r="K5">
        <f>J5/1.8</f>
        <v>354.20525549701659</v>
      </c>
      <c r="L5">
        <f>J5-'Example 6.3 - Pipe P2'!$C$8</f>
        <v>177.89945989462984</v>
      </c>
      <c r="M5">
        <f>K5-'Example 6.3 - Pipe P2'!$C$9</f>
        <v>81.055255497016617</v>
      </c>
      <c r="N5">
        <f>N4</f>
        <v>659.67000000000007</v>
      </c>
      <c r="O5">
        <f>O4</f>
        <v>366.48333333333335</v>
      </c>
      <c r="P5">
        <f>N5-'Example 6.3 - Pipe P2'!$C$8</f>
        <v>200.00000000000006</v>
      </c>
      <c r="Q5">
        <f>O5-'Example 6.3 - Pipe P2'!$C$9</f>
        <v>93.333333333333371</v>
      </c>
      <c r="R5">
        <f>F5/J5/Rg/Z*144</f>
        <v>0.58264259425572551</v>
      </c>
      <c r="S5">
        <f>R5*16.01846</f>
        <v>9.3330370903815698</v>
      </c>
      <c r="T5">
        <f>(Gam*F5/R5*gc*144)^0.5</f>
        <v>1237.8263452241943</v>
      </c>
      <c r="U5">
        <f>T5/3.28</f>
        <v>377.38608086103488</v>
      </c>
      <c r="V5">
        <f>D5*T5</f>
        <v>515.32642715054908</v>
      </c>
      <c r="W5">
        <f>V5/3.28</f>
        <v>157.11171559467959</v>
      </c>
      <c r="Y5">
        <f>B5/$B$20</f>
        <v>0.20281416104497921</v>
      </c>
      <c r="Z5">
        <f>D5</f>
        <v>0.41631560770926512</v>
      </c>
      <c r="AA5">
        <f>F5/$F$3</f>
        <v>0.95047122145478369</v>
      </c>
      <c r="AB5">
        <f>H5/$H$3</f>
        <v>0.96099660682405819</v>
      </c>
      <c r="AC5">
        <f>J5/$J$3</f>
        <v>0.99685837558107604</v>
      </c>
      <c r="AD5">
        <f>R5/$R$3</f>
        <v>0.95346665558259192</v>
      </c>
      <c r="AE5">
        <f>V5/$V$3</f>
        <v>1.048813449575382</v>
      </c>
    </row>
    <row r="6" spans="2:31" x14ac:dyDescent="0.25">
      <c r="B6">
        <f>(1/Gam*(1/M_1^2-1/D6^2)+(Gam+1)/2/Gam*LN((M_1^2/D6^2)*(1+D6^2*(Gam-1)/2)/(1+M_1^2*(Gam-1)/2)))*D/f</f>
        <v>7.3018510946470032</v>
      </c>
      <c r="C6">
        <f>B6/3.28</f>
        <v>2.2261741142216476</v>
      </c>
      <c r="D6">
        <f>D5+0.01</f>
        <v>0.42631560770926513</v>
      </c>
      <c r="E6">
        <f>(Gam/Z/Rg)^0.5*D6*(1+D6^2*(Gam-1)/2)^(-(Gam+1)/2/(Gam-1))</f>
        <v>6.2043705962821862E-2</v>
      </c>
      <c r="F6">
        <f>H6/(1+(Gam-1)/2*D6^2)^(Gam/(Gam-1))</f>
        <v>134.29633072518834</v>
      </c>
      <c r="G6" s="21">
        <f>F6*6.89476</f>
        <v>925.94096923079951</v>
      </c>
      <c r="H6">
        <f>mdot*N6^0.5/A/E6/gc^0.5/144</f>
        <v>152.17217937992359</v>
      </c>
      <c r="I6" s="21">
        <f>H6*6.89476</f>
        <v>1049.1906555015219</v>
      </c>
      <c r="J6">
        <f>N6/(1+(Gam-1)/2*D6^2)</f>
        <v>636.53267416091137</v>
      </c>
      <c r="K6">
        <f>J6/1.8</f>
        <v>353.62926342272851</v>
      </c>
      <c r="L6">
        <f>J6-'Example 6.3 - Pipe P2'!$C$8</f>
        <v>176.86267416091135</v>
      </c>
      <c r="M6">
        <f>K6-'Example 6.3 - Pipe P2'!$C$9</f>
        <v>80.479263422728536</v>
      </c>
      <c r="N6">
        <f>N5</f>
        <v>659.67000000000007</v>
      </c>
      <c r="O6">
        <f>O5</f>
        <v>366.48333333333335</v>
      </c>
      <c r="P6">
        <f>N6-'Example 6.3 - Pipe P2'!$C$8</f>
        <v>200.00000000000006</v>
      </c>
      <c r="Q6">
        <f>O6-'Example 6.3 - Pipe P2'!$C$9</f>
        <v>93.333333333333371</v>
      </c>
      <c r="R6">
        <f>F6/J6/Rg/Z*144</f>
        <v>0.56943884921301091</v>
      </c>
      <c r="S6">
        <f>R6*16.01846</f>
        <v>9.1215334285646481</v>
      </c>
      <c r="T6">
        <f>(Gam*F6/R6*gc*144)^0.5</f>
        <v>1236.8194879825237</v>
      </c>
      <c r="U6">
        <f>T6/3.28</f>
        <v>377.07911218979382</v>
      </c>
      <c r="V6">
        <f>D6*T6</f>
        <v>527.27545164593175</v>
      </c>
      <c r="W6">
        <f>V6/3.28</f>
        <v>160.75471086766214</v>
      </c>
      <c r="Y6">
        <f>B6/$B$20</f>
        <v>0.29210490214282464</v>
      </c>
      <c r="Z6">
        <f>D6</f>
        <v>0.42631560770926513</v>
      </c>
      <c r="AA6">
        <f>F6/$F$3</f>
        <v>0.9274212224935352</v>
      </c>
      <c r="AB6">
        <f>H6/$H$3</f>
        <v>0.94304784556824894</v>
      </c>
      <c r="AC6">
        <f>J6/$J$3</f>
        <v>0.99523733096185751</v>
      </c>
      <c r="AD6">
        <f>R6/$R$3</f>
        <v>0.93185936021634075</v>
      </c>
      <c r="AE6">
        <f>V6/$V$3</f>
        <v>1.0731325935970835</v>
      </c>
    </row>
    <row r="7" spans="2:31" x14ac:dyDescent="0.25">
      <c r="B7">
        <f>(1/Gam*(1/M_1^2-1/D7^2)+(Gam+1)/2/Gam*LN((M_1^2/D7^2)*(1+D7^2*(Gam-1)/2)/(1+M_1^2*(Gam-1)/2)))*D/f</f>
        <v>9.3572311920837201</v>
      </c>
      <c r="C7">
        <f>B7/3.28</f>
        <v>2.8528143878304029</v>
      </c>
      <c r="D7">
        <f>D6+0.01</f>
        <v>0.43631560770926514</v>
      </c>
      <c r="E7">
        <f>(Gam/Z/Rg)^0.5*D7*(1+D7^2*(Gam-1)/2)^(-(Gam+1)/2/(Gam-1))</f>
        <v>6.318297551150083E-2</v>
      </c>
      <c r="F7">
        <f>H7/(1+(Gam-1)/2*D7^2)^(Gam/(Gam-1))</f>
        <v>131.10928096782277</v>
      </c>
      <c r="G7" s="21">
        <f>F7*6.89476</f>
        <v>903.96702604570567</v>
      </c>
      <c r="H7">
        <f>mdot*N7^0.5/A/E7/gc^0.5/144</f>
        <v>149.42832110607412</v>
      </c>
      <c r="I7" s="21">
        <f>H7*6.89476</f>
        <v>1030.2724112293156</v>
      </c>
      <c r="J7">
        <f>N7/(1+(Gam-1)/2*D7^2)</f>
        <v>635.47476727598996</v>
      </c>
      <c r="K7">
        <f>J7/1.8</f>
        <v>353.04153737554998</v>
      </c>
      <c r="L7">
        <f>J7-'Example 6.3 - Pipe P2'!$C$8</f>
        <v>175.80476727598995</v>
      </c>
      <c r="M7">
        <f>K7-'Example 6.3 - Pipe P2'!$C$9</f>
        <v>79.891537375550001</v>
      </c>
      <c r="N7">
        <f>N6</f>
        <v>659.67000000000007</v>
      </c>
      <c r="O7">
        <f>O6</f>
        <v>366.48333333333335</v>
      </c>
      <c r="P7">
        <f>N7-'Example 6.3 - Pipe P2'!$C$8</f>
        <v>200.00000000000006</v>
      </c>
      <c r="Q7">
        <f>O7-'Example 6.3 - Pipe P2'!$C$9</f>
        <v>93.333333333333371</v>
      </c>
      <c r="R7">
        <f>F7/J7/Rg/Z*144</f>
        <v>0.55685070324572095</v>
      </c>
      <c r="S7">
        <f>R7*16.01846</f>
        <v>8.9198907159134517</v>
      </c>
      <c r="T7">
        <f>(Gam*F7/R7*gc*144)^0.5</f>
        <v>1235.7912737144102</v>
      </c>
      <c r="U7">
        <f>T7/3.28</f>
        <v>376.76563223000312</v>
      </c>
      <c r="V7">
        <f>D7*T7</f>
        <v>539.19502059250965</v>
      </c>
      <c r="W7">
        <f>V7/3.28</f>
        <v>164.38872579039929</v>
      </c>
      <c r="Y7">
        <f>B7/$B$20</f>
        <v>0.37432879228325849</v>
      </c>
      <c r="Z7">
        <f>D7</f>
        <v>0.43631560770926514</v>
      </c>
      <c r="AA7">
        <f>F7/$F$3</f>
        <v>0.90541215071798498</v>
      </c>
      <c r="AB7">
        <f>H7/$H$3</f>
        <v>0.92604349139363995</v>
      </c>
      <c r="AC7">
        <f>J7/$J$3</f>
        <v>0.99358326280904308</v>
      </c>
      <c r="AD7">
        <f>R7/$R$3</f>
        <v>0.91125946320615148</v>
      </c>
      <c r="AE7">
        <f>V7/$V$3</f>
        <v>1.0973917884795141</v>
      </c>
    </row>
    <row r="8" spans="2:31" x14ac:dyDescent="0.25">
      <c r="B8">
        <f>(1/Gam*(1/M_1^2-1/D8^2)+(Gam+1)/2/Gam*LN((M_1^2/D8^2)*(1+D8^2*(Gam-1)/2)/(1+M_1^2*(Gam-1)/2)))*D/f</f>
        <v>11.252250372955206</v>
      </c>
      <c r="C8">
        <f>B8/3.28</f>
        <v>3.4305641380960998</v>
      </c>
      <c r="D8">
        <f>D7+0.01</f>
        <v>0.44631560770926515</v>
      </c>
      <c r="E8">
        <f>(Gam/Z/Rg)^0.5*D8*(1+D8^2*(Gam-1)/2)^(-(Gam+1)/2/(Gam-1))</f>
        <v>6.4302477652685361E-2</v>
      </c>
      <c r="F8">
        <f>H8/(1+(Gam-1)/2*D8^2)^(Gam/(Gam-1))</f>
        <v>128.06284950573334</v>
      </c>
      <c r="G8" s="21">
        <f>F8*6.89476</f>
        <v>882.96261225814999</v>
      </c>
      <c r="H8">
        <f>mdot*N8^0.5/A/E8/gc^0.5/144</f>
        <v>146.8267833187526</v>
      </c>
      <c r="I8" s="21">
        <f>H8*6.89476</f>
        <v>1012.3354325548027</v>
      </c>
      <c r="J8">
        <f>N8/(1+(Gam-1)/2*D8^2)</f>
        <v>634.39596645513018</v>
      </c>
      <c r="K8">
        <f>J8/1.8</f>
        <v>352.44220358618344</v>
      </c>
      <c r="L8">
        <f>J8-'Example 6.3 - Pipe P2'!$C$8</f>
        <v>174.72596645513016</v>
      </c>
      <c r="M8">
        <f>K8-'Example 6.3 - Pipe P2'!$C$9</f>
        <v>79.292203586183462</v>
      </c>
      <c r="N8">
        <f>N7</f>
        <v>659.67000000000007</v>
      </c>
      <c r="O8">
        <f>O7</f>
        <v>366.48333333333335</v>
      </c>
      <c r="P8">
        <f>N8-'Example 6.3 - Pipe P2'!$C$8</f>
        <v>200.00000000000006</v>
      </c>
      <c r="Q8">
        <f>O8-'Example 6.3 - Pipe P2'!$C$9</f>
        <v>93.333333333333371</v>
      </c>
      <c r="R8">
        <f>F8/J8/Rg/Z*144</f>
        <v>0.5448367523859895</v>
      </c>
      <c r="S8">
        <f>R8*16.01846</f>
        <v>8.7274457246248787</v>
      </c>
      <c r="T8">
        <f>(Gam*F8/R8*gc*144)^0.5</f>
        <v>1234.7418701831366</v>
      </c>
      <c r="U8">
        <f>T8/3.28</f>
        <v>376.44569212900507</v>
      </c>
      <c r="V8">
        <f>D8*T8</f>
        <v>551.08456815486124</v>
      </c>
      <c r="W8">
        <f>V8/3.28</f>
        <v>168.01358785209186</v>
      </c>
      <c r="Y8">
        <f>B8/$B$20</f>
        <v>0.45013756805972499</v>
      </c>
      <c r="Z8">
        <f>D8</f>
        <v>0.44631560770926515</v>
      </c>
      <c r="AA8">
        <f>F8/$F$3</f>
        <v>0.88437415827576971</v>
      </c>
      <c r="AB8">
        <f>H8/$H$3</f>
        <v>0.90992113173831368</v>
      </c>
      <c r="AC8">
        <f>J8/$J$3</f>
        <v>0.99189652638030079</v>
      </c>
      <c r="AD8">
        <f>R8/$R$3</f>
        <v>0.89159920894479872</v>
      </c>
      <c r="AE8">
        <f>V8/$V$3</f>
        <v>1.1215898826112509</v>
      </c>
    </row>
    <row r="9" spans="2:31" x14ac:dyDescent="0.25">
      <c r="B9">
        <f>(1/Gam*(1/M_1^2-1/D9^2)+(Gam+1)/2/Gam*LN((M_1^2/D9^2)*(1+D9^2*(Gam-1)/2)/(1+M_1^2*(Gam-1)/2)))*D/f</f>
        <v>13.00140835854986</v>
      </c>
      <c r="C9">
        <f>B9/3.28</f>
        <v>3.963844011753006</v>
      </c>
      <c r="D9">
        <f>D8+0.01</f>
        <v>0.45631560770926516</v>
      </c>
      <c r="E9">
        <f>(Gam/Z/Rg)^0.5*D9*(1+D9^2*(Gam-1)/2)^(-(Gam+1)/2/(Gam-1))</f>
        <v>6.5401993359453139E-2</v>
      </c>
      <c r="F9">
        <f>H9/(1+(Gam-1)/2*D9^2)^(Gam/(Gam-1))</f>
        <v>125.14780882405411</v>
      </c>
      <c r="G9" s="21">
        <f>F9*6.89476</f>
        <v>862.8641063677353</v>
      </c>
      <c r="H9">
        <f>mdot*N9^0.5/A/E9/gc^0.5/144</f>
        <v>144.35838218691117</v>
      </c>
      <c r="I9" s="21">
        <f>H9*6.89476</f>
        <v>995.31639916702761</v>
      </c>
      <c r="J9">
        <f>N9/(1+(Gam-1)/2*D9^2)</f>
        <v>633.29650220487486</v>
      </c>
      <c r="K9">
        <f>J9/1.8</f>
        <v>351.83139011381934</v>
      </c>
      <c r="L9">
        <f>J9-'Example 6.3 - Pipe P2'!$C$8</f>
        <v>173.62650220487484</v>
      </c>
      <c r="M9">
        <f>K9-'Example 6.3 - Pipe P2'!$C$9</f>
        <v>78.681390113819361</v>
      </c>
      <c r="N9">
        <f>N8</f>
        <v>659.67000000000007</v>
      </c>
      <c r="O9">
        <f>O8</f>
        <v>366.48333333333335</v>
      </c>
      <c r="P9">
        <f>N9-'Example 6.3 - Pipe P2'!$C$8</f>
        <v>200.00000000000006</v>
      </c>
      <c r="Q9">
        <f>O9-'Example 6.3 - Pipe P2'!$C$9</f>
        <v>93.333333333333371</v>
      </c>
      <c r="R9">
        <f>F9/J9/Rg/Z*144</f>
        <v>0.53335922161454341</v>
      </c>
      <c r="S9">
        <f>R9*16.01846</f>
        <v>8.543593357063699</v>
      </c>
      <c r="T9">
        <f>(Gam*F9/R9*gc*144)^0.5</f>
        <v>1233.6714478309257</v>
      </c>
      <c r="U9">
        <f>T9/3.28</f>
        <v>376.11934385089199</v>
      </c>
      <c r="V9">
        <f>D9*T9</f>
        <v>562.94353643053785</v>
      </c>
      <c r="W9">
        <f>V9/3.28</f>
        <v>171.62912696052985</v>
      </c>
      <c r="Y9">
        <f>B9/$B$20</f>
        <v>0.5201112796010402</v>
      </c>
      <c r="Z9">
        <f>D9</f>
        <v>0.45631560770926516</v>
      </c>
      <c r="AA9">
        <f>F9/$F$3</f>
        <v>0.8642435219581367</v>
      </c>
      <c r="AB9">
        <f>H9/$H$3</f>
        <v>0.89462385217731388</v>
      </c>
      <c r="AC9">
        <f>J9/$J$3</f>
        <v>0.99017748207930789</v>
      </c>
      <c r="AD9">
        <f>R9/$R$3</f>
        <v>0.87281678042534538</v>
      </c>
      <c r="AE9">
        <f>V9/$V$3</f>
        <v>1.1457257405263812</v>
      </c>
    </row>
    <row r="10" spans="2:31" x14ac:dyDescent="0.25">
      <c r="B10">
        <f>(1/Gam*(1/M_1^2-1/D10^2)+(Gam+1)/2/Gam*LN((M_1^2/D10^2)*(1+D10^2*(Gam-1)/2)/(1+M_1^2*(Gam-1)/2)))*D/f</f>
        <v>14.617642648429452</v>
      </c>
      <c r="C10">
        <f>B10/3.28</f>
        <v>4.4565983684236139</v>
      </c>
      <c r="D10">
        <f>D9+0.01</f>
        <v>0.46631560770926517</v>
      </c>
      <c r="E10">
        <f>(Gam/Z/Rg)^0.5*D10*(1+D10^2*(Gam-1)/2)^(-(Gam+1)/2/(Gam-1))</f>
        <v>6.6481316556338807E-2</v>
      </c>
      <c r="F10">
        <f>H10/(1+(Gam-1)/2*D10^2)^(Gam/(Gam-1))</f>
        <v>122.3557231919219</v>
      </c>
      <c r="G10" s="21">
        <f>F10*6.89476</f>
        <v>843.6133460347354</v>
      </c>
      <c r="H10">
        <f>mdot*N10^0.5/A/E10/gc^0.5/144</f>
        <v>142.01472597445968</v>
      </c>
      <c r="I10" s="21">
        <f>H10*6.89476</f>
        <v>979.15745205966562</v>
      </c>
      <c r="J10">
        <f>N10/(1+(Gam-1)/2*D10^2)</f>
        <v>632.17660820684716</v>
      </c>
      <c r="K10">
        <f>J10/1.8</f>
        <v>351.20922678158178</v>
      </c>
      <c r="L10">
        <f>J10-'Example 6.3 - Pipe P2'!$C$8</f>
        <v>172.50660820684715</v>
      </c>
      <c r="M10">
        <f>K10-'Example 6.3 - Pipe P2'!$C$9</f>
        <v>78.059226781581799</v>
      </c>
      <c r="N10">
        <f>N9</f>
        <v>659.67000000000007</v>
      </c>
      <c r="O10">
        <f>O9</f>
        <v>366.48333333333335</v>
      </c>
      <c r="P10">
        <f>N10-'Example 6.3 - Pipe P2'!$C$8</f>
        <v>200.00000000000006</v>
      </c>
      <c r="Q10">
        <f>O10-'Example 6.3 - Pipe P2'!$C$9</f>
        <v>93.333333333333371</v>
      </c>
      <c r="R10">
        <f>F10/J10/Rg/Z*144</f>
        <v>0.52238357575855243</v>
      </c>
      <c r="S10">
        <f>R10*16.01846</f>
        <v>8.3677804129453417</v>
      </c>
      <c r="T10">
        <f>(Gam*F10/R10*gc*144)^0.5</f>
        <v>1232.5801797062461</v>
      </c>
      <c r="U10">
        <f>T10/3.28</f>
        <v>375.78664015434333</v>
      </c>
      <c r="V10">
        <f>D10*T10</f>
        <v>574.77137555011348</v>
      </c>
      <c r="W10">
        <f>V10/3.28</f>
        <v>175.23517547259559</v>
      </c>
      <c r="Y10">
        <f>B10/$B$20</f>
        <v>0.58476748156484915</v>
      </c>
      <c r="Z10">
        <f>D10</f>
        <v>0.46631560770926517</v>
      </c>
      <c r="AA10">
        <f>F10/$F$3</f>
        <v>0.84496198644427756</v>
      </c>
      <c r="AB10">
        <f>H10/$H$3</f>
        <v>0.88009964708995081</v>
      </c>
      <c r="AC10">
        <f>J10/$J$3</f>
        <v>0.988426495274072</v>
      </c>
      <c r="AD10">
        <f>R10/$R$3</f>
        <v>0.8548556624941398</v>
      </c>
      <c r="AE10">
        <f>V10/$V$3</f>
        <v>1.1697982431081297</v>
      </c>
    </row>
    <row r="11" spans="2:31" x14ac:dyDescent="0.25">
      <c r="B11">
        <f>(1/Gam*(1/M_1^2-1/D11^2)+(Gam+1)/2/Gam*LN((M_1^2/D11^2)*(1+D11^2*(Gam-1)/2)/(1+M_1^2*(Gam-1)/2)))*D/f</f>
        <v>16.112524725366857</v>
      </c>
      <c r="C11">
        <f>B11/3.28</f>
        <v>4.9123550991972129</v>
      </c>
      <c r="D11">
        <f>D10+0.01</f>
        <v>0.47631560770926518</v>
      </c>
      <c r="E11">
        <f>(Gam/Z/Rg)^0.5*D11*(1+D11^2*(Gam-1)/2)^(-(Gam+1)/2/(Gam-1))</f>
        <v>6.7540254120470988E-2</v>
      </c>
      <c r="F11">
        <f>H11/(1+(Gam-1)/2*D11^2)^(Gam/(Gam-1))</f>
        <v>119.67886553987682</v>
      </c>
      <c r="G11" s="21">
        <f>F11*6.89476</f>
        <v>825.15705496972112</v>
      </c>
      <c r="H11">
        <f>mdot*N11^0.5/A/E11/gc^0.5/144</f>
        <v>139.78813192395381</v>
      </c>
      <c r="I11" s="21">
        <f>H11*6.89476</f>
        <v>963.80562046399973</v>
      </c>
      <c r="J11">
        <f>N11/(1+(Gam-1)/2*D11^2)</f>
        <v>631.03652120091954</v>
      </c>
      <c r="K11">
        <f>J11/1.8</f>
        <v>350.57584511162196</v>
      </c>
      <c r="L11">
        <f>J11-'Example 6.3 - Pipe P2'!$C$8</f>
        <v>171.36652120091952</v>
      </c>
      <c r="M11">
        <f>K11-'Example 6.3 - Pipe P2'!$C$9</f>
        <v>77.425845111621982</v>
      </c>
      <c r="N11">
        <f>N10</f>
        <v>659.67000000000007</v>
      </c>
      <c r="O11">
        <f>O10</f>
        <v>366.48333333333335</v>
      </c>
      <c r="P11">
        <f>N11-'Example 6.3 - Pipe P2'!$C$8</f>
        <v>200.00000000000006</v>
      </c>
      <c r="Q11">
        <f>O11-'Example 6.3 - Pipe P2'!$C$9</f>
        <v>93.333333333333371</v>
      </c>
      <c r="R11">
        <f>F11/J11/Rg/Z*144</f>
        <v>0.51187817940354607</v>
      </c>
      <c r="S11">
        <f>R11*16.01846</f>
        <v>8.199500141648528</v>
      </c>
      <c r="T11">
        <f>(Gam*F11/R11*gc*144)^0.5</f>
        <v>1231.4682413905571</v>
      </c>
      <c r="U11">
        <f>T11/3.28</f>
        <v>375.44763457029183</v>
      </c>
      <c r="V11">
        <f>D11*T11</f>
        <v>586.56754377260324</v>
      </c>
      <c r="W11">
        <f>V11/3.28</f>
        <v>178.83156822335465</v>
      </c>
      <c r="Y11">
        <f>B11/$B$20</f>
        <v>0.64456908216431652</v>
      </c>
      <c r="Z11">
        <f>D11</f>
        <v>0.47631560770926518</v>
      </c>
      <c r="AA11">
        <f>F11/$F$3</f>
        <v>0.8264761902747535</v>
      </c>
      <c r="AB11">
        <f>H11/$H$3</f>
        <v>0.86630090456788855</v>
      </c>
      <c r="AC11">
        <f>J11/$J$3</f>
        <v>0.98664393611426227</v>
      </c>
      <c r="AD11">
        <f>R11/$R$3</f>
        <v>0.83766408531298175</v>
      </c>
      <c r="AE11">
        <f>V11/$V$3</f>
        <v>1.1938062877830569</v>
      </c>
    </row>
    <row r="12" spans="2:31" x14ac:dyDescent="0.25">
      <c r="B12">
        <f>(1/Gam*(1/M_1^2-1/D12^2)+(Gam+1)/2/Gam*LN((M_1^2/D12^2)*(1+D12^2*(Gam-1)/2)/(1+M_1^2*(Gam-1)/2)))*D/f</f>
        <v>17.496428189632525</v>
      </c>
      <c r="C12">
        <f>B12/3.28</f>
        <v>5.334276887083087</v>
      </c>
      <c r="D12">
        <f>D11+0.01</f>
        <v>0.48631560770926519</v>
      </c>
      <c r="E12">
        <f>(Gam/Z/Rg)^0.5*D12*(1+D12^2*(Gam-1)/2)^(-(Gam+1)/2/(Gam-1))</f>
        <v>6.8578625869360796E-2</v>
      </c>
      <c r="F12">
        <f>H12/(1+(Gam-1)/2*D12^2)^(Gam/(Gam-1))</f>
        <v>117.110144592605</v>
      </c>
      <c r="G12" s="21">
        <f>F12*6.89476</f>
        <v>807.44634053130915</v>
      </c>
      <c r="H12">
        <f>mdot*N12^0.5/A/E12/gc^0.5/144</f>
        <v>137.67155339558812</v>
      </c>
      <c r="I12" s="21">
        <f>H12*6.89476</f>
        <v>949.21231948976515</v>
      </c>
      <c r="J12">
        <f>N12/(1+(Gam-1)/2*D12^2)</f>
        <v>629.87648086785248</v>
      </c>
      <c r="K12">
        <f>J12/1.8</f>
        <v>349.93137825991806</v>
      </c>
      <c r="L12">
        <f>J12-'Example 6.3 - Pipe P2'!$C$8</f>
        <v>170.20648086785246</v>
      </c>
      <c r="M12">
        <f>K12-'Example 6.3 - Pipe P2'!$C$9</f>
        <v>76.781378259918085</v>
      </c>
      <c r="N12">
        <f>N11</f>
        <v>659.67000000000007</v>
      </c>
      <c r="O12">
        <f>O11</f>
        <v>366.48333333333335</v>
      </c>
      <c r="P12">
        <f>N12-'Example 6.3 - Pipe P2'!$C$8</f>
        <v>200.00000000000006</v>
      </c>
      <c r="Q12">
        <f>O12-'Example 6.3 - Pipe P2'!$C$9</f>
        <v>93.333333333333371</v>
      </c>
      <c r="R12">
        <f>F12/J12/Rg/Z*144</f>
        <v>0.50181399876434263</v>
      </c>
      <c r="S12">
        <f>R12*16.01846</f>
        <v>8.0382874666466719</v>
      </c>
      <c r="T12">
        <f>(Gam*F12/R12*gc*144)^0.5</f>
        <v>1230.3358109245398</v>
      </c>
      <c r="U12">
        <f>T12/3.28</f>
        <v>375.10238137943287</v>
      </c>
      <c r="V12">
        <f>D12*T12</f>
        <v>598.33150757623912</v>
      </c>
      <c r="W12">
        <f>V12/3.28</f>
        <v>182.41814255373146</v>
      </c>
      <c r="Y12">
        <f>B12/$B$20</f>
        <v>0.69993106925013793</v>
      </c>
      <c r="Z12">
        <f>D12</f>
        <v>0.48631560770926519</v>
      </c>
      <c r="AA12">
        <f>F12/$F$3</f>
        <v>0.80873716264607998</v>
      </c>
      <c r="AB12">
        <f>H12/$H$3</f>
        <v>0.85318395487784138</v>
      </c>
      <c r="AC12">
        <f>J12/$J$3</f>
        <v>0.98483017934771189</v>
      </c>
      <c r="AD12">
        <f>R12/$R$3</f>
        <v>0.82119453648519958</v>
      </c>
      <c r="AE12">
        <f>V12/$V$3</f>
        <v>1.2177487887058103</v>
      </c>
    </row>
    <row r="13" spans="2:31" x14ac:dyDescent="0.25">
      <c r="B13">
        <f>(1/Gam*(1/M_1^2-1/D13^2)+(Gam+1)/2/Gam*LN((M_1^2/D13^2)*(1+D13^2*(Gam-1)/2)/(1+M_1^2*(Gam-1)/2)))*D/f</f>
        <v>18.778673313280621</v>
      </c>
      <c r="C13">
        <f>B13/3.28</f>
        <v>5.7252052784392138</v>
      </c>
      <c r="D13">
        <f>D12+0.01</f>
        <v>0.49631560770926519</v>
      </c>
      <c r="E13">
        <f>(Gam/Z/Rg)^0.5*D13*(1+D13^2*(Gam-1)/2)^(-(Gam+1)/2/(Gam-1))</f>
        <v>6.9596264535569316E-2</v>
      </c>
      <c r="F13">
        <f>H13/(1+(Gam-1)/2*D13^2)^(Gam/(Gam-1))</f>
        <v>114.64304081062046</v>
      </c>
      <c r="G13" s="21">
        <f>F13*6.89476</f>
        <v>790.43625205943351</v>
      </c>
      <c r="H13">
        <f>mdot*N13^0.5/A/E13/gc^0.5/144</f>
        <v>135.65851581509068</v>
      </c>
      <c r="I13" s="21">
        <f>H13*6.89476</f>
        <v>935.33290850125456</v>
      </c>
      <c r="J13">
        <f>N13/(1+(Gam-1)/2*D13^2)</f>
        <v>628.69672971150396</v>
      </c>
      <c r="K13">
        <f>J13/1.8</f>
        <v>349.27596095083555</v>
      </c>
      <c r="L13">
        <f>J13-'Example 6.3 - Pipe P2'!$C$8</f>
        <v>169.02672971150395</v>
      </c>
      <c r="M13">
        <f>K13-'Example 6.3 - Pipe P2'!$C$9</f>
        <v>76.125960950835577</v>
      </c>
      <c r="N13">
        <f>N12</f>
        <v>659.67000000000007</v>
      </c>
      <c r="O13">
        <f>O12</f>
        <v>366.48333333333335</v>
      </c>
      <c r="P13">
        <f>N13-'Example 6.3 - Pipe P2'!$C$8</f>
        <v>200.00000000000006</v>
      </c>
      <c r="Q13">
        <f>O13-'Example 6.3 - Pipe P2'!$C$9</f>
        <v>93.333333333333371</v>
      </c>
      <c r="R13">
        <f>F13/J13/Rg/Z*144</f>
        <v>0.49216433959710687</v>
      </c>
      <c r="S13">
        <f>R13*16.01846</f>
        <v>7.8837147872626732</v>
      </c>
      <c r="T13">
        <f>(Gam*F13/R13*gc*144)^0.5</f>
        <v>1229.1830687338845</v>
      </c>
      <c r="U13">
        <f>T13/3.28</f>
        <v>374.75093558959895</v>
      </c>
      <c r="V13">
        <f>D13*T13</f>
        <v>610.06274174459736</v>
      </c>
      <c r="W13">
        <f>V13/3.28</f>
        <v>185.99473833676751</v>
      </c>
      <c r="Y13">
        <f>B13/$B$20</f>
        <v>0.75122629309288713</v>
      </c>
      <c r="Z13">
        <f>D13</f>
        <v>0.49631560770926519</v>
      </c>
      <c r="AA13">
        <f>F13/$F$3</f>
        <v>0.79169988103792821</v>
      </c>
      <c r="AB13">
        <f>H13/$H$3</f>
        <v>0.8407086735151662</v>
      </c>
      <c r="AC13">
        <f>J13/$J$3</f>
        <v>0.98298560413624891</v>
      </c>
      <c r="AD13">
        <f>R13/$R$3</f>
        <v>0.805403332161305</v>
      </c>
      <c r="AE13">
        <f>V13/$V$3</f>
        <v>1.2416246769344144</v>
      </c>
    </row>
    <row r="14" spans="2:31" x14ac:dyDescent="0.25">
      <c r="B14">
        <f>(1/Gam*(1/M_1^2-1/D14^2)+(Gam+1)/2/Gam*LN((M_1^2/D14^2)*(1+D14^2*(Gam-1)/2)/(1+M_1^2*(Gam-1)/2)))*D/f</f>
        <v>19.967651713441231</v>
      </c>
      <c r="C14">
        <f>B14/3.28</f>
        <v>6.0876986931223271</v>
      </c>
      <c r="D14">
        <f>D13+0.01</f>
        <v>0.5063156077092652</v>
      </c>
      <c r="E14">
        <f>(Gam/Z/Rg)^0.5*D14*(1+D14^2*(Gam-1)/2)^(-(Gam+1)/2/(Gam-1))</f>
        <v>7.0593015728498423E-2</v>
      </c>
      <c r="F14">
        <f>H14/(1+(Gam-1)/2*D14^2)^(Gam/(Gam-1))</f>
        <v>112.27154992302529</v>
      </c>
      <c r="G14" s="21">
        <f>F14*6.89476</f>
        <v>774.08539154727782</v>
      </c>
      <c r="H14">
        <f>mdot*N14^0.5/A/E14/gc^0.5/144</f>
        <v>133.74306021265923</v>
      </c>
      <c r="I14" s="21">
        <f>H14*6.89476</f>
        <v>922.12630183183433</v>
      </c>
      <c r="J14">
        <f>N14/(1+(Gam-1)/2*D14^2)</f>
        <v>627.49751294070779</v>
      </c>
      <c r="K14">
        <f>J14/1.8</f>
        <v>348.6097294115043</v>
      </c>
      <c r="L14">
        <f>J14-'Example 6.3 - Pipe P2'!$C$8</f>
        <v>167.82751294070778</v>
      </c>
      <c r="M14">
        <f>K14-'Example 6.3 - Pipe P2'!$C$9</f>
        <v>75.459729411504327</v>
      </c>
      <c r="N14">
        <f>N13</f>
        <v>659.67000000000007</v>
      </c>
      <c r="O14">
        <f>O13</f>
        <v>366.48333333333335</v>
      </c>
      <c r="P14">
        <f>N14-'Example 6.3 - Pipe P2'!$C$8</f>
        <v>200.00000000000006</v>
      </c>
      <c r="Q14">
        <f>O14-'Example 6.3 - Pipe P2'!$C$9</f>
        <v>93.333333333333371</v>
      </c>
      <c r="R14">
        <f>F14/J14/Rg/Z*144</f>
        <v>0.48290461616972691</v>
      </c>
      <c r="S14">
        <f>R14*16.01846</f>
        <v>7.7353882779301246</v>
      </c>
      <c r="T14">
        <f>(Gam*F14/R14*gc*144)^0.5</f>
        <v>1228.0101975546768</v>
      </c>
      <c r="U14">
        <f>T14/3.28</f>
        <v>374.39335291301126</v>
      </c>
      <c r="V14">
        <f>D14*T14</f>
        <v>621.76072944807095</v>
      </c>
      <c r="W14">
        <f>V14/3.28</f>
        <v>189.56119800246066</v>
      </c>
      <c r="Y14">
        <f>B14/$B$20</f>
        <v>0.79879045384158531</v>
      </c>
      <c r="Z14">
        <f>D14</f>
        <v>0.5063156077092652</v>
      </c>
      <c r="AA14">
        <f>F14/$F$3</f>
        <v>0.77532288126265969</v>
      </c>
      <c r="AB14">
        <f>H14/$H$3</f>
        <v>0.82883813130097661</v>
      </c>
      <c r="AC14">
        <f>J14/$J$3</f>
        <v>0.98111059387100963</v>
      </c>
      <c r="AD14">
        <f>R14/$R$3</f>
        <v>0.79025023897009772</v>
      </c>
      <c r="AE14">
        <f>V14/$V$3</f>
        <v>1.2654329005960863</v>
      </c>
    </row>
    <row r="15" spans="2:31" x14ac:dyDescent="0.25">
      <c r="B15">
        <f>(1/Gam*(1/M_1^2-1/D15^2)+(Gam+1)/2/Gam*LN((M_1^2/D15^2)*(1+D15^2*(Gam-1)/2)/(1+M_1^2*(Gam-1)/2)))*D/f</f>
        <v>21.070934203980922</v>
      </c>
      <c r="C15">
        <f>B15/3.28</f>
        <v>6.4240653060917445</v>
      </c>
      <c r="D15">
        <f>D14+0.01</f>
        <v>0.51631560770926521</v>
      </c>
      <c r="E15">
        <f>(Gam/Z/Rg)^0.5*D15*(1+D15^2*(Gam-1)/2)^(-(Gam+1)/2/(Gam-1))</f>
        <v>7.1568737883567629E-2</v>
      </c>
      <c r="F15">
        <f>H15/(1+(Gam-1)/2*D15^2)^(Gam/(Gam-1))</f>
        <v>109.99013302218297</v>
      </c>
      <c r="G15" s="21">
        <f>F15*6.89476</f>
        <v>758.35556955602624</v>
      </c>
      <c r="H15">
        <f>mdot*N15^0.5/A/E15/gc^0.5/144</f>
        <v>131.91969332377337</v>
      </c>
      <c r="I15" s="21">
        <f>H15*6.89476</f>
        <v>909.55462474101967</v>
      </c>
      <c r="J15">
        <f>N15/(1+(Gam-1)/2*D15^2)</f>
        <v>626.27907835092037</v>
      </c>
      <c r="K15">
        <f>J15/1.8</f>
        <v>347.93282130606684</v>
      </c>
      <c r="L15">
        <f>J15-'Example 6.3 - Pipe P2'!$C$8</f>
        <v>166.60907835092036</v>
      </c>
      <c r="M15">
        <f>K15-'Example 6.3 - Pipe P2'!$C$9</f>
        <v>74.782821306066865</v>
      </c>
      <c r="N15">
        <f>N14</f>
        <v>659.67000000000007</v>
      </c>
      <c r="O15">
        <f>O14</f>
        <v>366.48333333333335</v>
      </c>
      <c r="P15">
        <f>N15-'Example 6.3 - Pipe P2'!$C$8</f>
        <v>200.00000000000006</v>
      </c>
      <c r="Q15">
        <f>O15-'Example 6.3 - Pipe P2'!$C$9</f>
        <v>93.333333333333371</v>
      </c>
      <c r="R15">
        <f>F15/J15/Rg/Z*144</f>
        <v>0.47401214707973161</v>
      </c>
      <c r="S15">
        <f>R15*16.01846</f>
        <v>7.5929446175107982</v>
      </c>
      <c r="T15">
        <f>(Gam*F15/R15*gc*144)^0.5</f>
        <v>1226.8173823584509</v>
      </c>
      <c r="U15">
        <f>T15/3.28</f>
        <v>374.0296897434302</v>
      </c>
      <c r="V15">
        <f>D15*T15</f>
        <v>633.42496232069357</v>
      </c>
      <c r="W15">
        <f>V15/3.28</f>
        <v>193.11736656118708</v>
      </c>
      <c r="Y15">
        <f>B15/$B$20</f>
        <v>0.84292641604591556</v>
      </c>
      <c r="Z15">
        <f>D15</f>
        <v>0.51631560770926521</v>
      </c>
      <c r="AA15">
        <f>F15/$F$3</f>
        <v>0.7595679128300058</v>
      </c>
      <c r="AB15">
        <f>H15/$H$3</f>
        <v>0.81753828514479321</v>
      </c>
      <c r="AC15">
        <f>J15/$J$3</f>
        <v>0.97920553598739013</v>
      </c>
      <c r="AD15">
        <f>R15/$R$3</f>
        <v>0.77569813988448222</v>
      </c>
      <c r="AE15">
        <f>V15/$V$3</f>
        <v>1.2891724250435914</v>
      </c>
    </row>
    <row r="16" spans="2:31" x14ac:dyDescent="0.25">
      <c r="B16">
        <f>(1/Gam*(1/M_1^2-1/D16^2)+(Gam+1)/2/Gam*LN((M_1^2/D16^2)*(1+D16^2*(Gam-1)/2)/(1+M_1^2*(Gam-1)/2)))*D/f</f>
        <v>22.095364365763508</v>
      </c>
      <c r="C16">
        <f>B16/3.28</f>
        <v>6.7363915749278993</v>
      </c>
      <c r="D16">
        <f>D15+0.01</f>
        <v>0.52631560770926522</v>
      </c>
      <c r="E16">
        <f>(Gam/Z/Rg)^0.5*D16*(1+D16^2*(Gam-1)/2)^(-(Gam+1)/2/(Gam-1))</f>
        <v>7.2523302199054923E-2</v>
      </c>
      <c r="F16">
        <f>H16/(1+(Gam-1)/2*D16^2)^(Gam/(Gam-1))</f>
        <v>107.79367234757677</v>
      </c>
      <c r="G16" s="21">
        <f>F16*6.89476</f>
        <v>743.21150035517837</v>
      </c>
      <c r="H16">
        <f>mdot*N16^0.5/A/E16/gc^0.5/144</f>
        <v>130.18334337915459</v>
      </c>
      <c r="I16" s="21">
        <f>H16*6.89476</f>
        <v>897.58290859685985</v>
      </c>
      <c r="J16">
        <f>N16/(1+(Gam-1)/2*D16^2)</f>
        <v>625.04167620573276</v>
      </c>
      <c r="K16">
        <f>J16/1.8</f>
        <v>347.24537566985151</v>
      </c>
      <c r="L16">
        <f>J16-'Example 6.3 - Pipe P2'!$C$8</f>
        <v>165.37167620573274</v>
      </c>
      <c r="M16">
        <f>K16-'Example 6.3 - Pipe P2'!$C$9</f>
        <v>74.095375669851535</v>
      </c>
      <c r="N16">
        <f>N15</f>
        <v>659.67000000000007</v>
      </c>
      <c r="O16">
        <f>O15</f>
        <v>366.48333333333335</v>
      </c>
      <c r="P16">
        <f>N16-'Example 6.3 - Pipe P2'!$C$8</f>
        <v>200.00000000000006</v>
      </c>
      <c r="Q16">
        <f>O16-'Example 6.3 - Pipe P2'!$C$9</f>
        <v>93.333333333333371</v>
      </c>
      <c r="R16">
        <f>F16/J16/Rg/Z*144</f>
        <v>0.46546597434903186</v>
      </c>
      <c r="S16">
        <f>R16*16.01846</f>
        <v>7.4560480914709935</v>
      </c>
      <c r="T16">
        <f>(Gam*F16/R16*gc*144)^0.5</f>
        <v>1225.6048102769535</v>
      </c>
      <c r="U16">
        <f>T16/3.28</f>
        <v>373.66000313321751</v>
      </c>
      <c r="V16">
        <f>D16*T16</f>
        <v>645.05494053231348</v>
      </c>
      <c r="W16">
        <f>V16/3.28</f>
        <v>196.66309162570533</v>
      </c>
      <c r="Y16">
        <f>B16/$B$20</f>
        <v>0.88390795186209159</v>
      </c>
      <c r="Z16">
        <f>D16</f>
        <v>0.52631560770926522</v>
      </c>
      <c r="AA16">
        <f>F16/$F$3</f>
        <v>0.74439963360001937</v>
      </c>
      <c r="AB16">
        <f>H16/$H$3</f>
        <v>0.80677770406421934</v>
      </c>
      <c r="AC16">
        <f>J16/$J$3</f>
        <v>0.97727082177978664</v>
      </c>
      <c r="AD16">
        <f>R16/$R$3</f>
        <v>0.76171273817868967</v>
      </c>
      <c r="AE16">
        <f>V16/$V$3</f>
        <v>1.3128422330021343</v>
      </c>
    </row>
    <row r="17" spans="2:31" x14ac:dyDescent="0.25">
      <c r="B17">
        <f>(1/Gam*(1/M_1^2-1/D17^2)+(Gam+1)/2/Gam*LN((M_1^2/D17^2)*(1+D17^2*(Gam-1)/2)/(1+M_1^2*(Gam-1)/2)))*D/f</f>
        <v>23.04713995262075</v>
      </c>
      <c r="C17">
        <f>B17/3.28</f>
        <v>7.0265670587258384</v>
      </c>
      <c r="D17">
        <f>D16+0.01</f>
        <v>0.53631560770926523</v>
      </c>
      <c r="E17">
        <f>(Gam/Z/Rg)^0.5*D17*(1+D17^2*(Gam-1)/2)^(-(Gam+1)/2/(Gam-1))</f>
        <v>7.3456592560895137E-2</v>
      </c>
      <c r="F17">
        <f>H17/(1+(Gam-1)/2*D17^2)^(Gam/(Gam-1))</f>
        <v>105.67743201630296</v>
      </c>
      <c r="G17" s="21">
        <f>F17*6.89476</f>
        <v>728.62053116872494</v>
      </c>
      <c r="H17">
        <f>mdot*N17^0.5/A/E17/gc^0.5/144</f>
        <v>128.52932084132479</v>
      </c>
      <c r="I17" s="21">
        <f>H17*6.89476</f>
        <v>886.17882016393253</v>
      </c>
      <c r="J17">
        <f>N17/(1+(Gam-1)/2*D17^2)</f>
        <v>623.78555911834349</v>
      </c>
      <c r="K17">
        <f>J17/1.8</f>
        <v>346.54753284352415</v>
      </c>
      <c r="L17">
        <f>J17-'Example 6.3 - Pipe P2'!$C$8</f>
        <v>164.11555911834347</v>
      </c>
      <c r="M17">
        <f>K17-'Example 6.3 - Pipe P2'!$C$9</f>
        <v>73.397532843524175</v>
      </c>
      <c r="N17">
        <f>N16</f>
        <v>659.67000000000007</v>
      </c>
      <c r="O17">
        <f>O16</f>
        <v>366.48333333333335</v>
      </c>
      <c r="P17">
        <f>N17-'Example 6.3 - Pipe P2'!$C$8</f>
        <v>200.00000000000006</v>
      </c>
      <c r="Q17">
        <f>O17-'Example 6.3 - Pipe P2'!$C$9</f>
        <v>93.333333333333371</v>
      </c>
      <c r="R17">
        <f>F17/J17/Rg/Z*144</f>
        <v>0.45724670275737933</v>
      </c>
      <c r="S17">
        <f>R17*16.01846</f>
        <v>7.3243880182509713</v>
      </c>
      <c r="T17">
        <f>(Gam*F17/R17*gc*144)^0.5</f>
        <v>1224.3726705266818</v>
      </c>
      <c r="U17">
        <f>T17/3.28</f>
        <v>373.28435077032981</v>
      </c>
      <c r="V17">
        <f>D17*T17</f>
        <v>656.65017285613328</v>
      </c>
      <c r="W17">
        <f>V17/3.28</f>
        <v>200.19822343174798</v>
      </c>
      <c r="Y17">
        <f>B17/$B$20</f>
        <v>0.92198299763571467</v>
      </c>
      <c r="Z17">
        <f>D17</f>
        <v>0.53631560770926523</v>
      </c>
      <c r="AA17">
        <f>F17/$F$3</f>
        <v>0.72978533859641082</v>
      </c>
      <c r="AB17">
        <f>H17/$H$3</f>
        <v>0.79652732585988706</v>
      </c>
      <c r="AC17">
        <f>J17/$J$3</f>
        <v>0.97530684621627473</v>
      </c>
      <c r="AD17">
        <f>R17/$R$3</f>
        <v>0.74826229450519066</v>
      </c>
      <c r="AE17">
        <f>V17/$V$3</f>
        <v>1.3364413247068192</v>
      </c>
    </row>
    <row r="18" spans="2:31" x14ac:dyDescent="0.25">
      <c r="B18">
        <f>(1/Gam*(1/M_1^2-1/D18^2)+(Gam+1)/2/Gam*LN((M_1^2/D18^2)*(1+D18^2*(Gam-1)/2)/(1+M_1^2*(Gam-1)/2)))*D/f</f>
        <v>23.931883903859056</v>
      </c>
      <c r="C18">
        <f>B18/3.28</f>
        <v>7.296306068249713</v>
      </c>
      <c r="D18">
        <f>D17+0.01</f>
        <v>0.54631560770926524</v>
      </c>
      <c r="E18">
        <f>(Gam/Z/Rg)^0.5*D18*(1+D18^2*(Gam-1)/2)^(-(Gam+1)/2/(Gam-1))</f>
        <v>7.4368505455744291E-2</v>
      </c>
      <c r="F18">
        <f>H18/(1+(Gam-1)/2*D18^2)^(Gam/(Gam-1))</f>
        <v>103.63702306638736</v>
      </c>
      <c r="G18" s="21">
        <f>F18*6.89476</f>
        <v>714.55240115720483</v>
      </c>
      <c r="H18">
        <f>mdot*N18^0.5/A/E18/gc^0.5/144</f>
        <v>126.95328345395043</v>
      </c>
      <c r="I18" s="21">
        <f>H18*6.89476</f>
        <v>875.31242062695924</v>
      </c>
      <c r="J18">
        <f>N18/(1+(Gam-1)/2*D18^2)</f>
        <v>622.51098193308815</v>
      </c>
      <c r="K18">
        <f>J18/1.8</f>
        <v>345.8394344072712</v>
      </c>
      <c r="L18">
        <f>J18-'Example 6.3 - Pipe P2'!$C$8</f>
        <v>162.84098193308813</v>
      </c>
      <c r="M18">
        <f>K18-'Example 6.3 - Pipe P2'!$C$9</f>
        <v>72.689434407271222</v>
      </c>
      <c r="N18">
        <f>N17</f>
        <v>659.67000000000007</v>
      </c>
      <c r="O18">
        <f>O17</f>
        <v>366.48333333333335</v>
      </c>
      <c r="P18">
        <f>N18-'Example 6.3 - Pipe P2'!$C$8</f>
        <v>200.00000000000006</v>
      </c>
      <c r="Q18">
        <f>O18-'Example 6.3 - Pipe P2'!$C$9</f>
        <v>93.333333333333371</v>
      </c>
      <c r="R18">
        <f>F18/J18/Rg/Z*144</f>
        <v>0.44933635682133638</v>
      </c>
      <c r="S18">
        <f>R18*16.01846</f>
        <v>7.1976764582883046</v>
      </c>
      <c r="T18">
        <f>(Gam*F18/R18*gc*144)^0.5</f>
        <v>1223.1211543332467</v>
      </c>
      <c r="U18">
        <f>T18/3.28</f>
        <v>372.90279095525818</v>
      </c>
      <c r="V18">
        <f>D18*T18</f>
        <v>668.21017673162567</v>
      </c>
      <c r="W18">
        <f>V18/3.28</f>
        <v>203.72261485720296</v>
      </c>
      <c r="Y18">
        <f>B18/$B$20</f>
        <v>0.95737649470214792</v>
      </c>
      <c r="Z18">
        <f>D18</f>
        <v>0.54631560770926524</v>
      </c>
      <c r="AA18">
        <f>F18/$F$3</f>
        <v>0.71569471860330214</v>
      </c>
      <c r="AB18">
        <f>H18/$H$3</f>
        <v>0.78676024051777826</v>
      </c>
      <c r="AC18">
        <f>J18/$J$3</f>
        <v>0.97331400775337795</v>
      </c>
      <c r="AD18">
        <f>R18/$R$3</f>
        <v>0.73531739284764064</v>
      </c>
      <c r="AE18">
        <f>V18/$V$3</f>
        <v>1.3599687180306976</v>
      </c>
    </row>
    <row r="19" spans="2:31" x14ac:dyDescent="0.25">
      <c r="B19">
        <f>(1/Gam*(1/M_1^2-1/D19^2)+(Gam+1)/2/Gam*LN((M_1^2/D19^2)*(1+D19^2*(Gam-1)/2)/(1+M_1^2*(Gam-1)/2)))*D/f</f>
        <v>24.754706449614694</v>
      </c>
      <c r="C19">
        <f>B19/3.28</f>
        <v>7.547166600492285</v>
      </c>
      <c r="D19">
        <f>D18+0.01</f>
        <v>0.55631560770926525</v>
      </c>
      <c r="E19">
        <f>(Gam/Z/Rg)^0.5*D19*(1+D19^2*(Gam-1)/2)^(-(Gam+1)/2/(Gam-1))</f>
        <v>7.5258949872630154E-2</v>
      </c>
      <c r="F19">
        <f>H19/(1+(Gam-1)/2*D19^2)^(Gam/(Gam-1))</f>
        <v>101.66837227025532</v>
      </c>
      <c r="G19" s="21">
        <f>F19*6.89476</f>
        <v>700.9790263940655</v>
      </c>
      <c r="H19">
        <f>mdot*N19^0.5/A/E19/gc^0.5/144</f>
        <v>125.45120506130453</v>
      </c>
      <c r="I19" s="21">
        <f>H19*6.89476</f>
        <v>864.95595060848007</v>
      </c>
      <c r="J19">
        <f>N19/(1+(Gam-1)/2*D19^2)</f>
        <v>621.21820160711559</v>
      </c>
      <c r="K19">
        <f>J19/1.8</f>
        <v>345.1212231150642</v>
      </c>
      <c r="L19">
        <f>J19-'Example 6.3 - Pipe P2'!$C$8</f>
        <v>161.54820160711557</v>
      </c>
      <c r="M19">
        <f>K19-'Example 6.3 - Pipe P2'!$C$9</f>
        <v>71.97122311506422</v>
      </c>
      <c r="N19">
        <f>N18</f>
        <v>659.67000000000007</v>
      </c>
      <c r="O19">
        <f>O18</f>
        <v>366.48333333333335</v>
      </c>
      <c r="P19">
        <f>N19-'Example 6.3 - Pipe P2'!$C$8</f>
        <v>200.00000000000006</v>
      </c>
      <c r="Q19">
        <f>O19-'Example 6.3 - Pipe P2'!$C$9</f>
        <v>93.333333333333371</v>
      </c>
      <c r="R19">
        <f>F19/J19/Rg/Z*144</f>
        <v>0.44171825319845603</v>
      </c>
      <c r="S19">
        <f>R19*16.01846</f>
        <v>7.0756461701293407</v>
      </c>
      <c r="T19">
        <f>(Gam*F19/R19*gc*144)^0.5</f>
        <v>1221.8504548556139</v>
      </c>
      <c r="U19">
        <f>T19/3.28</f>
        <v>372.51538257793106</v>
      </c>
      <c r="V19">
        <f>D19*T19</f>
        <v>679.73447832284296</v>
      </c>
      <c r="W19">
        <f>V19/3.28</f>
        <v>207.23612143989115</v>
      </c>
      <c r="Y19">
        <f>B19/$B$20</f>
        <v>0.99029287386318865</v>
      </c>
      <c r="Z19">
        <f>D19</f>
        <v>0.55631560770926525</v>
      </c>
      <c r="AA19">
        <f>F19/$F$3</f>
        <v>0.70209964479784026</v>
      </c>
      <c r="AB19">
        <f>H19/$H$3</f>
        <v>0.77745149697588067</v>
      </c>
      <c r="AC19">
        <f>J19/$J$3</f>
        <v>0.97129270815106461</v>
      </c>
      <c r="AD19">
        <f>R19/$R$3</f>
        <v>0.72285073171644065</v>
      </c>
      <c r="AE19">
        <f>V19/$V$3</f>
        <v>1.3834234486034431</v>
      </c>
    </row>
    <row r="20" spans="2:31" x14ac:dyDescent="0.25">
      <c r="B20">
        <f>(1/Gam*(1/M_1^2-1/D20^2)+(Gam+1)/2/Gam*LN((M_1^2/D20^2)*(1+D20^2*(Gam-1)/2)/(1+M_1^2*(Gam-1)/2)))*D/f</f>
        <v>24.997358966186621</v>
      </c>
      <c r="C20">
        <f>B20/3.28</f>
        <v>7.621146026276409</v>
      </c>
      <c r="D20">
        <f>M_2</f>
        <v>0.55940802804528633</v>
      </c>
      <c r="E20">
        <f>(Gam/Z/Rg)^0.5*D20*(1+D20^2*(Gam-1)/2)^(-(Gam+1)/2/(Gam-1))</f>
        <v>7.5529954132892665E-2</v>
      </c>
      <c r="F20">
        <f>H20/(1+(Gam-1)/2*D20^2)^(Gam/(Gam-1))</f>
        <v>101.073512009151</v>
      </c>
      <c r="G20" s="21">
        <f>F20*6.89476</f>
        <v>696.87760766021393</v>
      </c>
      <c r="H20">
        <f>mdot*N20^0.5/A/E20/gc^0.5/144</f>
        <v>125.00108151208509</v>
      </c>
      <c r="I20" s="21">
        <f>H20*6.89476</f>
        <v>861.8524567662638</v>
      </c>
      <c r="J20">
        <f>N20/(1+(Gam-1)/2*D20^2)</f>
        <v>620.81477491258352</v>
      </c>
      <c r="K20">
        <f>J20/1.8</f>
        <v>344.89709717365753</v>
      </c>
      <c r="L20">
        <f>J20-'Example 6.3 - Pipe P2'!$C$8</f>
        <v>161.1447749125835</v>
      </c>
      <c r="M20">
        <f>K20-'Example 6.3 - Pipe P2'!$C$9</f>
        <v>71.747097173657551</v>
      </c>
      <c r="N20">
        <f>N19</f>
        <v>659.67000000000007</v>
      </c>
      <c r="O20">
        <f>O19</f>
        <v>366.48333333333335</v>
      </c>
      <c r="P20">
        <f>N20-'Example 6.3 - Pipe P2'!$C$8</f>
        <v>200.00000000000006</v>
      </c>
      <c r="Q20">
        <f>O20-'Example 6.3 - Pipe P2'!$C$9</f>
        <v>93.333333333333371</v>
      </c>
      <c r="R20">
        <f>F20/J20/Rg/Z*144</f>
        <v>0.43941912987145826</v>
      </c>
      <c r="S20">
        <f>R20*16.01846</f>
        <v>7.0388177550807596</v>
      </c>
      <c r="T20">
        <f>(Gam*F20/R20*gc*144)^0.5</f>
        <v>1221.4536481110956</v>
      </c>
      <c r="U20">
        <f>T20/3.28</f>
        <v>372.39440491191942</v>
      </c>
      <c r="V20">
        <f>D20*T20</f>
        <v>683.29097663854907</v>
      </c>
      <c r="W20">
        <f>V20/3.28</f>
        <v>208.32041970687473</v>
      </c>
      <c r="Y20">
        <f>B20/$B$20</f>
        <v>1</v>
      </c>
      <c r="Z20">
        <f>D20</f>
        <v>0.55940802804528633</v>
      </c>
      <c r="AA20">
        <f>F20/$F$3</f>
        <v>0.69799166934097467</v>
      </c>
      <c r="AB20">
        <f>H20/$H$3</f>
        <v>0.77466197233963874</v>
      </c>
      <c r="AC20">
        <f>J20/$J$3</f>
        <v>0.97066193879231311</v>
      </c>
      <c r="AD20">
        <f>R20/$R$3</f>
        <v>0.71908832668293166</v>
      </c>
      <c r="AE20">
        <f>V20/$V$3</f>
        <v>1.3906617796308853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Example 6.3 - Pipe P2</vt:lpstr>
      <vt:lpstr>Sheet1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2024-04-22T22:58:48Z</dcterms:modified>
</cp:coreProperties>
</file>